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8640" activeTab="0"/>
  </bookViews>
  <sheets>
    <sheet name="INPUT DATA" sheetId="1" r:id="rId1"/>
    <sheet name="OUTPUT" sheetId="2" r:id="rId2"/>
    <sheet name="Pop_Projection" sheetId="3" r:id="rId3"/>
    <sheet name="Waste_Projection" sheetId="4" r:id="rId4"/>
    <sheet name="Equipments" sheetId="5" r:id="rId5"/>
    <sheet name="Standards" sheetId="6" r:id="rId6"/>
    <sheet name="Compost &amp; Landfil" sheetId="7" r:id="rId7"/>
  </sheets>
  <definedNames>
    <definedName name="_xlfn.IFERROR" hidden="1">#NAME?</definedName>
    <definedName name="Arthematic_Growth" localSheetId="0">'INPUT DATA'!#REF!</definedName>
    <definedName name="Arthematic_Growth" localSheetId="1">'OUTPUT'!#REF!</definedName>
    <definedName name="_xlnm.Print_Area" localSheetId="1">'OUTPUT'!$C$3:$L$107</definedName>
  </definedNames>
  <calcPr fullCalcOnLoad="1"/>
</workbook>
</file>

<file path=xl/sharedStrings.xml><?xml version="1.0" encoding="utf-8"?>
<sst xmlns="http://schemas.openxmlformats.org/spreadsheetml/2006/main" count="533" uniqueCount="311">
  <si>
    <t>Table 1: Population Projection</t>
  </si>
  <si>
    <t>Year</t>
  </si>
  <si>
    <t>Population</t>
  </si>
  <si>
    <t>Population Projections</t>
  </si>
  <si>
    <t>Table 1: Projected Waste Generation</t>
  </si>
  <si>
    <t>Decadal Growth Rate</t>
  </si>
  <si>
    <t>Annual Growth Rate</t>
  </si>
  <si>
    <t>Total Waste Generation</t>
  </si>
  <si>
    <t>Per Capita Generation</t>
  </si>
  <si>
    <t>gm/day</t>
  </si>
  <si>
    <t>Annual waste growth rate</t>
  </si>
  <si>
    <t>Tons</t>
  </si>
  <si>
    <t>tons</t>
  </si>
  <si>
    <t>Households</t>
  </si>
  <si>
    <t>HH Size</t>
  </si>
  <si>
    <t>No. of HH</t>
  </si>
  <si>
    <t>Populaion</t>
  </si>
  <si>
    <t>S. No</t>
  </si>
  <si>
    <t>Equipment</t>
  </si>
  <si>
    <t>Door-to-door collection</t>
  </si>
  <si>
    <t>HH per unit</t>
  </si>
  <si>
    <t>Additional</t>
  </si>
  <si>
    <t>Replacement</t>
  </si>
  <si>
    <t>Life period</t>
  </si>
  <si>
    <t>years</t>
  </si>
  <si>
    <t>Gross requirement</t>
  </si>
  <si>
    <t>Net Requirement</t>
  </si>
  <si>
    <t>Total to be procured</t>
  </si>
  <si>
    <t>Unit</t>
  </si>
  <si>
    <t>Auto Rickshaws</t>
  </si>
  <si>
    <t>Requirement</t>
  </si>
  <si>
    <t>I. Vehicles/Equipment</t>
  </si>
  <si>
    <t>1. Collection Equipment</t>
  </si>
  <si>
    <t>Usage</t>
  </si>
  <si>
    <t>% units</t>
  </si>
  <si>
    <t>Containerized Push Carts</t>
  </si>
  <si>
    <t>Sweeping &amp; Drain Cleaning</t>
  </si>
  <si>
    <t>Push Carts/Wheel Barrows</t>
  </si>
  <si>
    <t>Litter Bins</t>
  </si>
  <si>
    <t>on main/important roads</t>
  </si>
  <si>
    <t>Litter collection</t>
  </si>
  <si>
    <t>no.s per km</t>
  </si>
  <si>
    <t xml:space="preserve">Temporary storgae </t>
  </si>
  <si>
    <t>Size of containers</t>
  </si>
  <si>
    <t>m3</t>
  </si>
  <si>
    <t>Waste density</t>
  </si>
  <si>
    <t>t/m3</t>
  </si>
  <si>
    <t>requirement</t>
  </si>
  <si>
    <t>no.s / ton of waste</t>
  </si>
  <si>
    <t>additional requirment</t>
  </si>
  <si>
    <t>Type</t>
  </si>
  <si>
    <t>Closed metal easy for lifting, transport &amp; unload</t>
  </si>
  <si>
    <t>To transport containers to disposal site</t>
  </si>
  <si>
    <t>Dual conainer of 3 m3 - hydraulic lifting</t>
  </si>
  <si>
    <t>1 unit for 16 containers</t>
  </si>
  <si>
    <t>no.s/container</t>
  </si>
  <si>
    <t>Landfill equipment:</t>
  </si>
  <si>
    <t>no.s</t>
  </si>
  <si>
    <t>Years</t>
  </si>
  <si>
    <t>Door-to-Door collection</t>
  </si>
  <si>
    <t>Through auto tippers</t>
  </si>
  <si>
    <t>Through push carts</t>
  </si>
  <si>
    <t>Auto Tippers</t>
  </si>
  <si>
    <t>% HH covered</t>
  </si>
  <si>
    <t>Push Carts</t>
  </si>
  <si>
    <t>Total D-D coverage</t>
  </si>
  <si>
    <t>Door-to-Door Collection System</t>
  </si>
  <si>
    <t>Total Road Length</t>
  </si>
  <si>
    <t>Main Road/Market Length, km</t>
  </si>
  <si>
    <t>Waste Generated, tons</t>
  </si>
  <si>
    <t>Sanitary Workers requirement</t>
  </si>
  <si>
    <t xml:space="preserve">Excess requirement </t>
  </si>
  <si>
    <t>No. of sweeping beats</t>
  </si>
  <si>
    <t>km</t>
  </si>
  <si>
    <t>t/day</t>
  </si>
  <si>
    <t>Design of Compost Plant</t>
  </si>
  <si>
    <t>Ultimate waste for compost</t>
  </si>
  <si>
    <t>cum</t>
  </si>
  <si>
    <t>Assumed waste density in compost</t>
  </si>
  <si>
    <t>t/cum</t>
  </si>
  <si>
    <t>Waste handled in each windrow</t>
  </si>
  <si>
    <t>t</t>
  </si>
  <si>
    <t>number of widrwos required (Design life)</t>
  </si>
  <si>
    <t>Gross area reqd. for each windrow</t>
  </si>
  <si>
    <t>sq. m</t>
  </si>
  <si>
    <t>total area required for each day compost</t>
  </si>
  <si>
    <t>initial compost period</t>
  </si>
  <si>
    <t>days</t>
  </si>
  <si>
    <t>total area for composting</t>
  </si>
  <si>
    <t>ha</t>
  </si>
  <si>
    <t>Fraction of total waste to be landfilled</t>
  </si>
  <si>
    <t>Total waste to be landfilled in design life</t>
  </si>
  <si>
    <t>Assumed waste density in landfill</t>
  </si>
  <si>
    <t>total waste volume</t>
  </si>
  <si>
    <t>volume of liner&amp; cover system</t>
  </si>
  <si>
    <t xml:space="preserve">volume available due to settlment </t>
  </si>
  <si>
    <t>total volume</t>
  </si>
  <si>
    <t>assume height of landfill</t>
  </si>
  <si>
    <t>m</t>
  </si>
  <si>
    <t>area of landfill required</t>
  </si>
  <si>
    <t>Total area (add 15%)</t>
  </si>
  <si>
    <t>add 15 % for buffer</t>
  </si>
  <si>
    <t>Total area required for landfill</t>
  </si>
  <si>
    <t>Initial waste generation</t>
  </si>
  <si>
    <t>Net Area of Windrow (5mX2m)</t>
  </si>
  <si>
    <t>m2</t>
  </si>
  <si>
    <t>Area required for other facilities (tipping floor, processing and storage &amp; facilities)</t>
  </si>
  <si>
    <t>Recyclable Waste</t>
  </si>
  <si>
    <t>Biodegradable Waste</t>
  </si>
  <si>
    <t xml:space="preserve">Inert </t>
  </si>
  <si>
    <t>Design of Landfil</t>
  </si>
  <si>
    <t>Design life (2011-2031)</t>
  </si>
  <si>
    <t>Table 1: Waste Processing &amp; Disposal</t>
  </si>
  <si>
    <t>Waste Quantity &amp; Composition</t>
  </si>
  <si>
    <t>I</t>
  </si>
  <si>
    <t>II</t>
  </si>
  <si>
    <t>III</t>
  </si>
  <si>
    <t>IV</t>
  </si>
  <si>
    <t>Total Land Requirement</t>
  </si>
  <si>
    <t>Compost Plant + Land Fill</t>
  </si>
  <si>
    <t>Municipal Solid Waste Management Master Plan:</t>
  </si>
  <si>
    <t>Panipat</t>
  </si>
  <si>
    <t>Input Data</t>
  </si>
  <si>
    <t>Waste Generation</t>
  </si>
  <si>
    <t>Per Capita</t>
  </si>
  <si>
    <t xml:space="preserve">Population </t>
  </si>
  <si>
    <t>ton</t>
  </si>
  <si>
    <t>Length of main/market roads</t>
  </si>
  <si>
    <t>Street sweeping details</t>
  </si>
  <si>
    <t>% of total road</t>
  </si>
  <si>
    <t xml:space="preserve">  Roads swept daily</t>
  </si>
  <si>
    <t xml:space="preserve">  Roads swept alternative day</t>
  </si>
  <si>
    <t xml:space="preserve">  Roads swept weekly</t>
  </si>
  <si>
    <t xml:space="preserve">  Total number of beats</t>
  </si>
  <si>
    <t>per day</t>
  </si>
  <si>
    <t xml:space="preserve">  Roads swept fortnightly</t>
  </si>
  <si>
    <t xml:space="preserve">  Average beat length</t>
  </si>
  <si>
    <t>Current Waste Composition</t>
  </si>
  <si>
    <t>Biodegradable waste</t>
  </si>
  <si>
    <t>Recyclable waste</t>
  </si>
  <si>
    <t>metre road per sweeper</t>
  </si>
  <si>
    <t>Street Sweeping Details</t>
  </si>
  <si>
    <t>Assumptions</t>
  </si>
  <si>
    <t xml:space="preserve">Population Projections </t>
  </si>
  <si>
    <t>Particulars</t>
  </si>
  <si>
    <t>Method/Basis</t>
  </si>
  <si>
    <t>Arithmetic Growth Method (AM)</t>
  </si>
  <si>
    <t>Incremental Increase (IM)</t>
  </si>
  <si>
    <t>Geometric Growth Method (GM)</t>
  </si>
  <si>
    <t>Average of AM_IM_GM</t>
  </si>
  <si>
    <t>Available Projected Data</t>
  </si>
  <si>
    <t>Growth Rate based Projection</t>
  </si>
  <si>
    <t>If the above option is "Available Projected Data" enter projected population below</t>
  </si>
  <si>
    <t>Decade</t>
  </si>
  <si>
    <t>Growth Rate</t>
  </si>
  <si>
    <t>2001-11</t>
  </si>
  <si>
    <t>2011-21</t>
  </si>
  <si>
    <t>2021-31</t>
  </si>
  <si>
    <t>2031-41</t>
  </si>
  <si>
    <t>Growth Rate%</t>
  </si>
  <si>
    <t>Door-to-Door Collection</t>
  </si>
  <si>
    <t>Auto Tippers in wide streets and Containerized Push Carts in narrow streets</t>
  </si>
  <si>
    <t>% households covered by Auto Tipper</t>
  </si>
  <si>
    <t>% households covered by Push Carts</t>
  </si>
  <si>
    <t>Street Sweeping &amp; Litter Bins</t>
  </si>
  <si>
    <t>Waste Storage &amp; Transportation</t>
  </si>
  <si>
    <t>Table 2: Solid Waste Equipment &amp; Vehicles - Requirement</t>
  </si>
  <si>
    <t>SWM Vehicles &amp; Equipment: Market Rates</t>
  </si>
  <si>
    <t>No,s</t>
  </si>
  <si>
    <t>Compost Plant</t>
  </si>
  <si>
    <t>Design Period</t>
  </si>
  <si>
    <t>Landfill Facility</t>
  </si>
  <si>
    <t>For Sweeping &amp; Drain Cleaning</t>
  </si>
  <si>
    <t>For D-2-D collection (Auto Tipper)</t>
  </si>
  <si>
    <t>For D-2-D collection (Push Carts)</t>
  </si>
  <si>
    <t>Backhoe Loader</t>
  </si>
  <si>
    <t>Bull Dozer</t>
  </si>
  <si>
    <t>No.s</t>
  </si>
  <si>
    <t>levelling/moving/loading</t>
  </si>
  <si>
    <t>Moving/compaction</t>
  </si>
  <si>
    <t>Tipper Truck</t>
  </si>
  <si>
    <t>Water Tanker (3000 lt)</t>
  </si>
  <si>
    <t>Weight Bridge (20 MT)</t>
  </si>
  <si>
    <t>Plant &amp; Machinery</t>
  </si>
  <si>
    <t>Equipment, Plant &amp; Machinery</t>
  </si>
  <si>
    <t>Civil Works</t>
  </si>
  <si>
    <t>Capacity &amp; Land Requirement</t>
  </si>
  <si>
    <t>Interal roads, drains, tipping floor, office building, store, etc</t>
  </si>
  <si>
    <t>As required</t>
  </si>
  <si>
    <t>Landfill Equipment</t>
  </si>
  <si>
    <t>Other infrastructure (roads, drains, fencing, building, etc</t>
  </si>
  <si>
    <t>Landfill cell construction (total area)</t>
  </si>
  <si>
    <t xml:space="preserve">Approximate area required (2011-2016) </t>
  </si>
  <si>
    <t>Approximate area required (2016-2021)</t>
  </si>
  <si>
    <t>Approximate area required (2021-2026)</t>
  </si>
  <si>
    <t>Approximate area required (2026-2031)</t>
  </si>
  <si>
    <t>no,s</t>
  </si>
  <si>
    <t>2011-16</t>
  </si>
  <si>
    <t>2016-21</t>
  </si>
  <si>
    <t>2021-26</t>
  </si>
  <si>
    <t>2026-31</t>
  </si>
  <si>
    <t>Equipment required</t>
  </si>
  <si>
    <t>(levelling/moving/loading)</t>
  </si>
  <si>
    <t xml:space="preserve"> (levelling/compaction)</t>
  </si>
  <si>
    <t xml:space="preserve"> (levelling/moving/loading)</t>
  </si>
  <si>
    <t xml:space="preserve"> (Reject Transport)</t>
  </si>
  <si>
    <t xml:space="preserve">Tipper Tractor </t>
  </si>
  <si>
    <t>(Reject Transport)</t>
  </si>
  <si>
    <t xml:space="preserve"> (Sorting/grading/packing)</t>
  </si>
  <si>
    <t>Equipment &amp; Vehicles (Collection &amp; Transportation)</t>
  </si>
  <si>
    <t>Auto Tipper</t>
  </si>
  <si>
    <t>Containerized Push Cart</t>
  </si>
  <si>
    <t>Metal Container (3 m3)</t>
  </si>
  <si>
    <t>Bull dozer</t>
  </si>
  <si>
    <t>Rs. Lakhs</t>
  </si>
  <si>
    <t>Landfill Cell Development</t>
  </si>
  <si>
    <t>Compost plant Civil works, sq.m</t>
  </si>
  <si>
    <t>Landfill infrastructure dev, sq.m</t>
  </si>
  <si>
    <t>Sub-total</t>
  </si>
  <si>
    <t xml:space="preserve">Total </t>
  </si>
  <si>
    <t>A. Compost Plant</t>
  </si>
  <si>
    <t>B. Landfill Facility</t>
  </si>
  <si>
    <t xml:space="preserve">  Equipment</t>
  </si>
  <si>
    <t xml:space="preserve">  Civil Works</t>
  </si>
  <si>
    <t>Total - Landfill Facility</t>
  </si>
  <si>
    <t>Total - Compost Plant</t>
  </si>
  <si>
    <t>percent</t>
  </si>
  <si>
    <t>If the above option is "Growth Rate based Project" enter below the Decadal Growth Rate to be used for Projection</t>
  </si>
  <si>
    <t>Input data</t>
  </si>
  <si>
    <t>revise/update if required</t>
  </si>
  <si>
    <t>Review the provided values &amp;</t>
  </si>
  <si>
    <t>No value to be entered</t>
  </si>
  <si>
    <t>just review only</t>
  </si>
  <si>
    <t>select from drop down menu</t>
  </si>
  <si>
    <t>Enter data if condition satisfies</t>
  </si>
  <si>
    <t>No data to be entered</t>
  </si>
  <si>
    <t>User Instructions</t>
  </si>
  <si>
    <t>Current Waste Generation</t>
  </si>
  <si>
    <t>Quantity</t>
  </si>
  <si>
    <t>Inert &amp; other waste</t>
  </si>
  <si>
    <t>Plant &amp; Machinery (lump sum)</t>
  </si>
  <si>
    <t>Landfill Cell Development, sq.m</t>
  </si>
  <si>
    <t>After data input, the output generated will be available in the "OUTPUT" worksheet. Copy output tables to Master Plan Report</t>
  </si>
  <si>
    <t>Please read and understand the following instructions carefully before using this template:                                                                                                             The cells for data input and requiring users review are shaded with different colours. Input data or review the data/result according to following color codes:</t>
  </si>
  <si>
    <t xml:space="preserve">       Choose from drop down menu only</t>
  </si>
  <si>
    <t xml:space="preserve">Street Sweeping </t>
  </si>
  <si>
    <t>Sanitary workers</t>
  </si>
  <si>
    <t>1 per beat</t>
  </si>
  <si>
    <t>volume of daily cover (10 % of above)</t>
  </si>
  <si>
    <t>additional area required (trapizoidal shape) - 25%</t>
  </si>
  <si>
    <t xml:space="preserve">Total road length </t>
  </si>
  <si>
    <t>beats served by unit</t>
  </si>
  <si>
    <t>Push Carts for Street sweeping</t>
  </si>
  <si>
    <t>at distance of 50 m</t>
  </si>
  <si>
    <t>Waste generation (Design Period 30 years -2041)</t>
  </si>
  <si>
    <t>Size of each windrow (3m x 2m x 1.5m) trapeziodal shate 2m bottom and 1 m top</t>
  </si>
  <si>
    <t>Closed Containers (3 m3 capacity)</t>
  </si>
  <si>
    <t>Dumper Placers (twin containers of 3 m3)</t>
  </si>
  <si>
    <t>Closed Containers (4.5 m3 capacity)</t>
  </si>
  <si>
    <t>Dumper Placers (twin containers of 4.5 m3)</t>
  </si>
  <si>
    <t>Closed Containers (3 m3)</t>
  </si>
  <si>
    <t>Dumper Placers (twin 3 m3)</t>
  </si>
  <si>
    <t>Closed Containers (4.5 m3)</t>
  </si>
  <si>
    <t>Dumper Placers (twin 4.5 m3)</t>
  </si>
  <si>
    <t>Temporary storage bins</t>
  </si>
  <si>
    <t xml:space="preserve">3 m3 containers </t>
  </si>
  <si>
    <t>4.5 m3 containers</t>
  </si>
  <si>
    <t>total</t>
  </si>
  <si>
    <t>waste to be handled</t>
  </si>
  <si>
    <t>1 per cart (175 HH)</t>
  </si>
  <si>
    <t>2 per auto (1200 HH)</t>
  </si>
  <si>
    <t>20 Years</t>
  </si>
  <si>
    <t>30 Years</t>
  </si>
  <si>
    <t>Landfill</t>
  </si>
  <si>
    <t>Gross Requirement</t>
  </si>
  <si>
    <t>To be Procured</t>
  </si>
  <si>
    <t>Containerized Push Carts for D2D Collection</t>
  </si>
  <si>
    <t>Auto Tippers for D2D Collection</t>
  </si>
  <si>
    <t>Metal Container (4.5 m3)</t>
  </si>
  <si>
    <t>Dumper Placer (3m3 twin )</t>
  </si>
  <si>
    <t>Dumper Placer (4.5m3 twin )</t>
  </si>
  <si>
    <t>Design Life (Years)</t>
  </si>
  <si>
    <t>Waste Fraction Composted (%)</t>
  </si>
  <si>
    <t>Design Life (years)</t>
  </si>
  <si>
    <t>Design Capacity (tons)</t>
  </si>
  <si>
    <t>Land required for landfill (ha)</t>
  </si>
  <si>
    <t>Landfill cell area required (sq. m)</t>
  </si>
  <si>
    <t xml:space="preserve">Waste generation </t>
  </si>
  <si>
    <t>Approximate area required (2031-2036)</t>
  </si>
  <si>
    <t>Approximate area required (2036-2041)</t>
  </si>
  <si>
    <t>2036-41</t>
  </si>
  <si>
    <t>2031-36</t>
  </si>
  <si>
    <t>Total (collection &amp; street sweeping)</t>
  </si>
  <si>
    <t>Total (2011-2041)</t>
  </si>
  <si>
    <t>Vehicles/Equipment</t>
  </si>
  <si>
    <t>Waste Fraction Land filled (%)</t>
  </si>
  <si>
    <t>Total  - Collection &amp; Transportation</t>
  </si>
  <si>
    <t>one cart will serve 250 houselds</t>
  </si>
  <si>
    <t>one cart will serve 1,800 houselds</t>
  </si>
  <si>
    <t>Table 4-1: Projected Population &amp; Waste Generation</t>
  </si>
  <si>
    <t>Table 4-2: SWM Collection &amp; Transportation Vehicles/Equipment Requirement (2011-2041)</t>
  </si>
  <si>
    <t>Table 4-3: Details of Processing and Disposal Facility</t>
  </si>
  <si>
    <t>Table 4-4: Requirement of Sanitary Workers (D-to-D Collection &amp; Sweeping)</t>
  </si>
  <si>
    <t>Table 4-5: Capital Cost Estimates</t>
  </si>
  <si>
    <t>Total Land Requirement (20 Years)</t>
  </si>
  <si>
    <t>Total Land Requirement (30 Years)</t>
  </si>
  <si>
    <t>Land Required for compost (ha)</t>
  </si>
  <si>
    <t>Ultimate Design Capacity  (ton/d)</t>
  </si>
  <si>
    <t>ha (Compost + Landfill)</t>
  </si>
  <si>
    <t>Appropriate size of container bins for the town</t>
  </si>
  <si>
    <t xml:space="preserve"> 3.0 m3 containers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</si>
</sst>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[$INR]\ #,##0"/>
    <numFmt numFmtId="168" formatCode="[$INR]\ #,##0_);\([$INR]\ #,##0\)"/>
    <numFmt numFmtId="169" formatCode="_(* #,##0.000_);_(* \(#,##0.0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_(* #,##0.0_);_(* \(#,##0.0\);_(* &quot;-&quot;?_);_(@_)"/>
  </numFmts>
  <fonts count="82">
    <font>
      <sz val="10"/>
      <color theme="1"/>
      <name val="Arial"/>
      <family val="2"/>
    </font>
    <font>
      <sz val="10"/>
      <color indexed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i/>
      <sz val="10.5"/>
      <name val="Arial Narrow"/>
      <family val="2"/>
    </font>
    <font>
      <u val="single"/>
      <sz val="10.5"/>
      <name val="Arial Narrow"/>
      <family val="2"/>
    </font>
    <font>
      <sz val="10"/>
      <name val="Arial Narrow"/>
      <family val="2"/>
    </font>
    <font>
      <b/>
      <i/>
      <sz val="10.5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.5"/>
      <color indexed="30"/>
      <name val="Arial Narrow"/>
      <family val="2"/>
    </font>
    <font>
      <b/>
      <sz val="10.5"/>
      <color indexed="8"/>
      <name val="Arial Narrow"/>
      <family val="2"/>
    </font>
    <font>
      <sz val="10.5"/>
      <color indexed="8"/>
      <name val="Arial Narrow"/>
      <family val="2"/>
    </font>
    <font>
      <sz val="10.5"/>
      <color indexed="10"/>
      <name val="Arial Narrow"/>
      <family val="2"/>
    </font>
    <font>
      <b/>
      <sz val="10.5"/>
      <color indexed="10"/>
      <name val="Arial Narrow"/>
      <family val="2"/>
    </font>
    <font>
      <sz val="10.5"/>
      <color indexed="10"/>
      <name val="Arial"/>
      <family val="2"/>
    </font>
    <font>
      <i/>
      <sz val="10.5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10"/>
      <name val="Arial Narrow"/>
      <family val="2"/>
    </font>
    <font>
      <u val="single"/>
      <sz val="10.5"/>
      <color indexed="40"/>
      <name val="Arial Narrow"/>
      <family val="2"/>
    </font>
    <font>
      <sz val="10.5"/>
      <color indexed="30"/>
      <name val="Arial Narrow"/>
      <family val="2"/>
    </font>
    <font>
      <sz val="11"/>
      <color indexed="8"/>
      <name val="Times New Roman"/>
      <family val="1"/>
    </font>
    <font>
      <sz val="10.5"/>
      <color indexed="9"/>
      <name val="Arial Narrow"/>
      <family val="2"/>
    </font>
    <font>
      <b/>
      <sz val="10.5"/>
      <color indexed="9"/>
      <name val="Arial Narrow"/>
      <family val="2"/>
    </font>
    <font>
      <b/>
      <i/>
      <sz val="10.5"/>
      <color indexed="62"/>
      <name val="Arial Narrow"/>
      <family val="2"/>
    </font>
    <font>
      <sz val="10.5"/>
      <color indexed="56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.5"/>
      <color rgb="FF0070C0"/>
      <name val="Arial Narrow"/>
      <family val="2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  <font>
      <sz val="10.5"/>
      <color rgb="FFFF0000"/>
      <name val="Arial Narrow"/>
      <family val="2"/>
    </font>
    <font>
      <b/>
      <sz val="10.5"/>
      <color rgb="FFFF0000"/>
      <name val="Arial Narrow"/>
      <family val="2"/>
    </font>
    <font>
      <sz val="10.5"/>
      <color rgb="FFFF0000"/>
      <name val="Arial"/>
      <family val="2"/>
    </font>
    <font>
      <i/>
      <sz val="10.5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FF0000"/>
      <name val="Arial Narrow"/>
      <family val="2"/>
    </font>
    <font>
      <sz val="10.5"/>
      <color rgb="FF0070C0"/>
      <name val="Arial Narrow"/>
      <family val="2"/>
    </font>
    <font>
      <sz val="11"/>
      <color rgb="FF000000"/>
      <name val="Times New Roman"/>
      <family val="1"/>
    </font>
    <font>
      <sz val="10.5"/>
      <color theme="0"/>
      <name val="Arial Narrow"/>
      <family val="2"/>
    </font>
    <font>
      <b/>
      <sz val="10.5"/>
      <color theme="0"/>
      <name val="Arial Narrow"/>
      <family val="2"/>
    </font>
    <font>
      <b/>
      <i/>
      <sz val="10.5"/>
      <color theme="3" tint="0.39998000860214233"/>
      <name val="Arial Narrow"/>
      <family val="2"/>
    </font>
    <font>
      <sz val="10.5"/>
      <color theme="3"/>
      <name val="Arial Narrow"/>
      <family val="2"/>
    </font>
    <font>
      <u val="single"/>
      <sz val="10.5"/>
      <color rgb="FF00B0F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/>
      <right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vertical="top"/>
      <protection hidden="1"/>
    </xf>
    <xf numFmtId="0" fontId="2" fillId="0" borderId="10" xfId="0" applyFont="1" applyFill="1" applyBorder="1" applyAlignment="1" applyProtection="1">
      <alignment vertical="top"/>
      <protection hidden="1"/>
    </xf>
    <xf numFmtId="43" fontId="7" fillId="0" borderId="0" xfId="42" applyFont="1" applyFill="1" applyBorder="1" applyAlignment="1" applyProtection="1">
      <alignment horizontal="center"/>
      <protection hidden="1"/>
    </xf>
    <xf numFmtId="164" fontId="2" fillId="0" borderId="0" xfId="42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64" fontId="2" fillId="0" borderId="0" xfId="42" applyNumberFormat="1" applyFont="1" applyFill="1" applyBorder="1" applyAlignment="1" applyProtection="1">
      <alignment/>
      <protection hidden="1"/>
    </xf>
    <xf numFmtId="164" fontId="2" fillId="0" borderId="0" xfId="42" applyNumberFormat="1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0" fontId="2" fillId="0" borderId="0" xfId="0" applyNumberFormat="1" applyFont="1" applyFill="1" applyBorder="1" applyAlignment="1" applyProtection="1">
      <alignment horizontal="center"/>
      <protection hidden="1"/>
    </xf>
    <xf numFmtId="0" fontId="2" fillId="16" borderId="12" xfId="0" applyFont="1" applyFill="1" applyBorder="1" applyAlignment="1" applyProtection="1">
      <alignment/>
      <protection hidden="1"/>
    </xf>
    <xf numFmtId="0" fontId="2" fillId="16" borderId="13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/>
      <protection hidden="1"/>
    </xf>
    <xf numFmtId="9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9" fontId="2" fillId="0" borderId="0" xfId="61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0" fontId="2" fillId="16" borderId="16" xfId="0" applyFont="1" applyFill="1" applyBorder="1" applyAlignment="1" applyProtection="1">
      <alignment vertical="top"/>
      <protection hidden="1"/>
    </xf>
    <xf numFmtId="0" fontId="2" fillId="16" borderId="17" xfId="0" applyFont="1" applyFill="1" applyBorder="1" applyAlignment="1" applyProtection="1">
      <alignment vertical="top"/>
      <protection hidden="1"/>
    </xf>
    <xf numFmtId="0" fontId="2" fillId="16" borderId="18" xfId="0" applyFont="1" applyFill="1" applyBorder="1" applyAlignment="1" applyProtection="1">
      <alignment vertical="top"/>
      <protection hidden="1"/>
    </xf>
    <xf numFmtId="164" fontId="2" fillId="16" borderId="19" xfId="0" applyNumberFormat="1" applyFont="1" applyFill="1" applyBorder="1" applyAlignment="1" applyProtection="1">
      <alignment vertical="top"/>
      <protection hidden="1"/>
    </xf>
    <xf numFmtId="0" fontId="2" fillId="16" borderId="19" xfId="0" applyFont="1" applyFill="1" applyBorder="1" applyAlignment="1" applyProtection="1">
      <alignment vertical="top"/>
      <protection hidden="1"/>
    </xf>
    <xf numFmtId="164" fontId="2" fillId="16" borderId="20" xfId="42" applyNumberFormat="1" applyFont="1" applyFill="1" applyBorder="1" applyAlignment="1" applyProtection="1">
      <alignment vertical="top"/>
      <protection hidden="1"/>
    </xf>
    <xf numFmtId="0" fontId="2" fillId="10" borderId="21" xfId="0" applyFont="1" applyFill="1" applyBorder="1" applyAlignment="1" applyProtection="1">
      <alignment vertical="top"/>
      <protection hidden="1"/>
    </xf>
    <xf numFmtId="164" fontId="2" fillId="10" borderId="21" xfId="0" applyNumberFormat="1" applyFont="1" applyFill="1" applyBorder="1" applyAlignment="1" applyProtection="1">
      <alignment vertical="top"/>
      <protection hidden="1"/>
    </xf>
    <xf numFmtId="164" fontId="2" fillId="10" borderId="22" xfId="42" applyNumberFormat="1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vertical="top"/>
      <protection hidden="1"/>
    </xf>
    <xf numFmtId="0" fontId="2" fillId="0" borderId="24" xfId="0" applyFont="1" applyFill="1" applyBorder="1" applyAlignment="1" applyProtection="1">
      <alignment vertical="top"/>
      <protection hidden="1"/>
    </xf>
    <xf numFmtId="0" fontId="2" fillId="10" borderId="25" xfId="0" applyFont="1" applyFill="1" applyBorder="1" applyAlignment="1" applyProtection="1">
      <alignment/>
      <protection hidden="1"/>
    </xf>
    <xf numFmtId="0" fontId="2" fillId="10" borderId="26" xfId="0" applyFont="1" applyFill="1" applyBorder="1" applyAlignment="1" applyProtection="1">
      <alignment/>
      <protection hidden="1"/>
    </xf>
    <xf numFmtId="0" fontId="2" fillId="10" borderId="27" xfId="0" applyFont="1" applyFill="1" applyBorder="1" applyAlignment="1" applyProtection="1">
      <alignment/>
      <protection hidden="1"/>
    </xf>
    <xf numFmtId="0" fontId="2" fillId="0" borderId="28" xfId="0" applyFont="1" applyFill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164" fontId="2" fillId="0" borderId="0" xfId="42" applyNumberFormat="1" applyFont="1" applyBorder="1" applyAlignment="1" applyProtection="1">
      <alignment/>
      <protection hidden="1"/>
    </xf>
    <xf numFmtId="0" fontId="2" fillId="0" borderId="29" xfId="0" applyFont="1" applyBorder="1" applyAlignment="1" applyProtection="1">
      <alignment/>
      <protection hidden="1"/>
    </xf>
    <xf numFmtId="0" fontId="2" fillId="0" borderId="3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164" fontId="2" fillId="0" borderId="14" xfId="42" applyNumberFormat="1" applyFont="1" applyBorder="1" applyAlignment="1" applyProtection="1">
      <alignment/>
      <protection hidden="1"/>
    </xf>
    <xf numFmtId="164" fontId="2" fillId="0" borderId="31" xfId="42" applyNumberFormat="1" applyFont="1" applyBorder="1" applyAlignment="1" applyProtection="1">
      <alignment/>
      <protection hidden="1"/>
    </xf>
    <xf numFmtId="164" fontId="2" fillId="0" borderId="15" xfId="0" applyNumberFormat="1" applyFont="1" applyBorder="1" applyAlignment="1" applyProtection="1">
      <alignment/>
      <protection hidden="1"/>
    </xf>
    <xf numFmtId="164" fontId="2" fillId="0" borderId="32" xfId="0" applyNumberFormat="1" applyFont="1" applyBorder="1" applyAlignment="1" applyProtection="1">
      <alignment/>
      <protection hidden="1"/>
    </xf>
    <xf numFmtId="43" fontId="2" fillId="0" borderId="14" xfId="42" applyFont="1" applyBorder="1" applyAlignment="1" applyProtection="1">
      <alignment/>
      <protection hidden="1"/>
    </xf>
    <xf numFmtId="43" fontId="2" fillId="0" borderId="31" xfId="42" applyFont="1" applyBorder="1" applyAlignment="1" applyProtection="1">
      <alignment/>
      <protection hidden="1"/>
    </xf>
    <xf numFmtId="43" fontId="2" fillId="0" borderId="0" xfId="0" applyNumberFormat="1" applyFont="1" applyBorder="1" applyAlignment="1" applyProtection="1">
      <alignment/>
      <protection hidden="1"/>
    </xf>
    <xf numFmtId="43" fontId="5" fillId="0" borderId="14" xfId="42" applyFont="1" applyBorder="1" applyAlignment="1" applyProtection="1">
      <alignment/>
      <protection hidden="1"/>
    </xf>
    <xf numFmtId="43" fontId="2" fillId="10" borderId="14" xfId="42" applyFont="1" applyFill="1" applyBorder="1" applyAlignment="1" applyProtection="1">
      <alignment/>
      <protection hidden="1"/>
    </xf>
    <xf numFmtId="43" fontId="2" fillId="10" borderId="31" xfId="0" applyNumberFormat="1" applyFont="1" applyFill="1" applyBorder="1" applyAlignment="1" applyProtection="1">
      <alignment/>
      <protection hidden="1"/>
    </xf>
    <xf numFmtId="43" fontId="2" fillId="0" borderId="31" xfId="0" applyNumberFormat="1" applyFont="1" applyBorder="1" applyAlignment="1" applyProtection="1">
      <alignment/>
      <protection hidden="1"/>
    </xf>
    <xf numFmtId="0" fontId="2" fillId="10" borderId="33" xfId="0" applyFont="1" applyFill="1" applyBorder="1" applyAlignment="1" applyProtection="1">
      <alignment/>
      <protection hidden="1"/>
    </xf>
    <xf numFmtId="0" fontId="2" fillId="10" borderId="31" xfId="0" applyFont="1" applyFill="1" applyBorder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43" fontId="3" fillId="0" borderId="15" xfId="0" applyNumberFormat="1" applyFont="1" applyBorder="1" applyAlignment="1" applyProtection="1">
      <alignment/>
      <protection hidden="1"/>
    </xf>
    <xf numFmtId="164" fontId="2" fillId="33" borderId="0" xfId="42" applyNumberFormat="1" applyFont="1" applyFill="1" applyBorder="1" applyAlignment="1" applyProtection="1">
      <alignment/>
      <protection hidden="1"/>
    </xf>
    <xf numFmtId="9" fontId="2" fillId="33" borderId="0" xfId="0" applyNumberFormat="1" applyFont="1" applyFill="1" applyBorder="1" applyAlignment="1" applyProtection="1">
      <alignment/>
      <protection hidden="1"/>
    </xf>
    <xf numFmtId="164" fontId="2" fillId="33" borderId="15" xfId="42" applyNumberFormat="1" applyFont="1" applyFill="1" applyBorder="1" applyAlignment="1" applyProtection="1">
      <alignment/>
      <protection hidden="1"/>
    </xf>
    <xf numFmtId="9" fontId="2" fillId="33" borderId="0" xfId="0" applyNumberFormat="1" applyFont="1" applyFill="1" applyBorder="1" applyAlignment="1" applyProtection="1">
      <alignment horizontal="center"/>
      <protection hidden="1"/>
    </xf>
    <xf numFmtId="0" fontId="65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 wrapText="1"/>
      <protection hidden="1"/>
    </xf>
    <xf numFmtId="0" fontId="67" fillId="0" borderId="0" xfId="0" applyFont="1" applyAlignment="1" applyProtection="1">
      <alignment/>
      <protection hidden="1"/>
    </xf>
    <xf numFmtId="164" fontId="66" fillId="0" borderId="0" xfId="42" applyNumberFormat="1" applyFont="1" applyAlignment="1" applyProtection="1">
      <alignment/>
      <protection hidden="1"/>
    </xf>
    <xf numFmtId="10" fontId="67" fillId="0" borderId="0" xfId="61" applyNumberFormat="1" applyFont="1" applyAlignment="1" applyProtection="1">
      <alignment/>
      <protection hidden="1"/>
    </xf>
    <xf numFmtId="0" fontId="66" fillId="0" borderId="0" xfId="0" applyFont="1" applyFill="1" applyAlignment="1" applyProtection="1">
      <alignment/>
      <protection hidden="1"/>
    </xf>
    <xf numFmtId="164" fontId="66" fillId="0" borderId="0" xfId="0" applyNumberFormat="1" applyFont="1" applyAlignment="1" applyProtection="1">
      <alignment/>
      <protection hidden="1"/>
    </xf>
    <xf numFmtId="1" fontId="66" fillId="33" borderId="0" xfId="0" applyNumberFormat="1" applyFont="1" applyFill="1" applyAlignment="1" applyProtection="1">
      <alignment/>
      <protection hidden="1"/>
    </xf>
    <xf numFmtId="1" fontId="66" fillId="0" borderId="0" xfId="0" applyNumberFormat="1" applyFont="1" applyAlignment="1" applyProtection="1">
      <alignment/>
      <protection hidden="1"/>
    </xf>
    <xf numFmtId="0" fontId="66" fillId="0" borderId="0" xfId="0" applyFont="1" applyAlignment="1" applyProtection="1">
      <alignment vertical="top"/>
      <protection hidden="1"/>
    </xf>
    <xf numFmtId="2" fontId="66" fillId="0" borderId="0" xfId="0" applyNumberFormat="1" applyFont="1" applyAlignment="1" applyProtection="1">
      <alignment vertical="top" wrapText="1"/>
      <protection hidden="1"/>
    </xf>
    <xf numFmtId="164" fontId="67" fillId="0" borderId="0" xfId="42" applyNumberFormat="1" applyFont="1" applyAlignment="1" applyProtection="1">
      <alignment/>
      <protection hidden="1"/>
    </xf>
    <xf numFmtId="164" fontId="67" fillId="0" borderId="0" xfId="61" applyNumberFormat="1" applyFont="1" applyAlignment="1" applyProtection="1">
      <alignment/>
      <protection hidden="1"/>
    </xf>
    <xf numFmtId="164" fontId="68" fillId="0" borderId="0" xfId="0" applyNumberFormat="1" applyFont="1" applyAlignment="1" applyProtection="1">
      <alignment/>
      <protection hidden="1"/>
    </xf>
    <xf numFmtId="10" fontId="68" fillId="0" borderId="0" xfId="61" applyNumberFormat="1" applyFont="1" applyAlignment="1" applyProtection="1">
      <alignment/>
      <protection hidden="1"/>
    </xf>
    <xf numFmtId="164" fontId="67" fillId="0" borderId="0" xfId="0" applyNumberFormat="1" applyFont="1" applyAlignment="1" applyProtection="1">
      <alignment/>
      <protection hidden="1"/>
    </xf>
    <xf numFmtId="164" fontId="69" fillId="0" borderId="0" xfId="42" applyNumberFormat="1" applyFont="1" applyAlignment="1" applyProtection="1">
      <alignment/>
      <protection hidden="1"/>
    </xf>
    <xf numFmtId="43" fontId="4" fillId="34" borderId="0" xfId="42" applyFont="1" applyFill="1" applyAlignment="1" applyProtection="1">
      <alignment horizontal="center"/>
      <protection hidden="1"/>
    </xf>
    <xf numFmtId="0" fontId="70" fillId="0" borderId="0" xfId="0" applyFont="1" applyAlignment="1" applyProtection="1">
      <alignment/>
      <protection hidden="1"/>
    </xf>
    <xf numFmtId="10" fontId="66" fillId="33" borderId="0" xfId="0" applyNumberFormat="1" applyFont="1" applyFill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71" fillId="35" borderId="0" xfId="0" applyFont="1" applyFill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164" fontId="71" fillId="0" borderId="0" xfId="42" applyNumberFormat="1" applyFont="1" applyAlignment="1" applyProtection="1">
      <alignment/>
      <protection hidden="1"/>
    </xf>
    <xf numFmtId="43" fontId="71" fillId="0" borderId="0" xfId="0" applyNumberFormat="1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71" fillId="36" borderId="0" xfId="0" applyFont="1" applyFill="1" applyAlignment="1" applyProtection="1">
      <alignment/>
      <protection hidden="1"/>
    </xf>
    <xf numFmtId="164" fontId="71" fillId="0" borderId="0" xfId="0" applyNumberFormat="1" applyFont="1" applyAlignment="1" applyProtection="1">
      <alignment/>
      <protection hidden="1"/>
    </xf>
    <xf numFmtId="9" fontId="71" fillId="0" borderId="0" xfId="0" applyNumberFormat="1" applyFont="1" applyAlignment="1" applyProtection="1">
      <alignment/>
      <protection hidden="1"/>
    </xf>
    <xf numFmtId="9" fontId="74" fillId="0" borderId="0" xfId="0" applyNumberFormat="1" applyFont="1" applyAlignment="1" applyProtection="1">
      <alignment/>
      <protection hidden="1"/>
    </xf>
    <xf numFmtId="0" fontId="71" fillId="0" borderId="0" xfId="0" applyFont="1" applyAlignment="1" applyProtection="1">
      <alignment horizontal="right"/>
      <protection hidden="1"/>
    </xf>
    <xf numFmtId="3" fontId="71" fillId="0" borderId="0" xfId="0" applyNumberFormat="1" applyFont="1" applyAlignment="1" applyProtection="1">
      <alignment/>
      <protection hidden="1"/>
    </xf>
    <xf numFmtId="0" fontId="65" fillId="36" borderId="0" xfId="0" applyFont="1" applyFill="1" applyAlignment="1" applyProtection="1">
      <alignment horizontal="center"/>
      <protection hidden="1"/>
    </xf>
    <xf numFmtId="0" fontId="65" fillId="36" borderId="0" xfId="0" applyFont="1" applyFill="1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 horizontal="center"/>
      <protection hidden="1"/>
    </xf>
    <xf numFmtId="0" fontId="65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66" fillId="36" borderId="0" xfId="0" applyFont="1" applyFill="1" applyAlignment="1" applyProtection="1">
      <alignment horizontal="center"/>
      <protection hidden="1"/>
    </xf>
    <xf numFmtId="0" fontId="6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5" fontId="2" fillId="0" borderId="0" xfId="42" applyNumberFormat="1" applyFont="1" applyFill="1" applyAlignment="1" applyProtection="1">
      <alignment/>
      <protection hidden="1"/>
    </xf>
    <xf numFmtId="43" fontId="66" fillId="0" borderId="0" xfId="0" applyNumberFormat="1" applyFont="1" applyAlignment="1" applyProtection="1">
      <alignment/>
      <protection hidden="1"/>
    </xf>
    <xf numFmtId="9" fontId="2" fillId="0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6" fontId="2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164" fontId="2" fillId="0" borderId="0" xfId="42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166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9" fontId="2" fillId="0" borderId="0" xfId="0" applyNumberFormat="1" applyFont="1" applyAlignment="1" applyProtection="1">
      <alignment/>
      <protection hidden="1"/>
    </xf>
    <xf numFmtId="43" fontId="2" fillId="0" borderId="0" xfId="42" applyFont="1" applyFill="1" applyAlignment="1" applyProtection="1">
      <alignment/>
      <protection hidden="1"/>
    </xf>
    <xf numFmtId="164" fontId="3" fillId="0" borderId="0" xfId="42" applyNumberFormat="1" applyFont="1" applyAlignment="1" applyProtection="1">
      <alignment/>
      <protection hidden="1"/>
    </xf>
    <xf numFmtId="164" fontId="2" fillId="0" borderId="0" xfId="42" applyNumberFormat="1" applyFont="1" applyAlignment="1" applyProtection="1">
      <alignment/>
      <protection hidden="1"/>
    </xf>
    <xf numFmtId="164" fontId="3" fillId="36" borderId="0" xfId="42" applyNumberFormat="1" applyFont="1" applyFill="1" applyAlignment="1" applyProtection="1">
      <alignment/>
      <protection hidden="1"/>
    </xf>
    <xf numFmtId="166" fontId="3" fillId="0" borderId="0" xfId="0" applyNumberFormat="1" applyFont="1" applyAlignment="1" applyProtection="1">
      <alignment/>
      <protection hidden="1"/>
    </xf>
    <xf numFmtId="0" fontId="2" fillId="0" borderId="34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35" xfId="0" applyFont="1" applyBorder="1" applyAlignment="1" applyProtection="1">
      <alignment/>
      <protection hidden="1"/>
    </xf>
    <xf numFmtId="0" fontId="2" fillId="0" borderId="35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/>
      <protection hidden="1"/>
    </xf>
    <xf numFmtId="164" fontId="67" fillId="0" borderId="0" xfId="42" applyNumberFormat="1" applyFont="1" applyFill="1" applyBorder="1" applyAlignment="1" applyProtection="1">
      <alignment/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28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37" borderId="35" xfId="0" applyFont="1" applyFill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38" borderId="35" xfId="0" applyFont="1" applyFill="1" applyBorder="1" applyAlignment="1" applyProtection="1">
      <alignment vertical="top" wrapText="1"/>
      <protection hidden="1"/>
    </xf>
    <xf numFmtId="0" fontId="2" fillId="39" borderId="35" xfId="0" applyFont="1" applyFill="1" applyBorder="1" applyAlignment="1" applyProtection="1">
      <alignment vertical="top" wrapText="1"/>
      <protection hidden="1"/>
    </xf>
    <xf numFmtId="0" fontId="2" fillId="0" borderId="28" xfId="0" applyFont="1" applyBorder="1" applyAlignment="1" applyProtection="1">
      <alignment vertical="top"/>
      <protection hidden="1"/>
    </xf>
    <xf numFmtId="0" fontId="2" fillId="8" borderId="35" xfId="0" applyFont="1" applyFill="1" applyBorder="1" applyAlignment="1" applyProtection="1">
      <alignment vertical="top" wrapText="1"/>
      <protection hidden="1"/>
    </xf>
    <xf numFmtId="0" fontId="7" fillId="0" borderId="0" xfId="0" applyFont="1" applyAlignment="1" applyProtection="1">
      <alignment/>
      <protection hidden="1"/>
    </xf>
    <xf numFmtId="0" fontId="2" fillId="33" borderId="35" xfId="0" applyFont="1" applyFill="1" applyBorder="1" applyAlignment="1" applyProtection="1">
      <alignment vertical="top" wrapText="1"/>
      <protection hidden="1"/>
    </xf>
    <xf numFmtId="164" fontId="2" fillId="0" borderId="28" xfId="0" applyNumberFormat="1" applyFont="1" applyBorder="1" applyAlignment="1" applyProtection="1">
      <alignment/>
      <protection hidden="1"/>
    </xf>
    <xf numFmtId="0" fontId="2" fillId="0" borderId="35" xfId="0" applyFont="1" applyFill="1" applyBorder="1" applyAlignment="1" applyProtection="1">
      <alignment vertical="top" wrapText="1"/>
      <protection hidden="1"/>
    </xf>
    <xf numFmtId="0" fontId="2" fillId="0" borderId="28" xfId="0" applyFont="1" applyFill="1" applyBorder="1" applyAlignment="1" applyProtection="1">
      <alignment vertical="top" wrapText="1"/>
      <protection hidden="1"/>
    </xf>
    <xf numFmtId="0" fontId="2" fillId="0" borderId="36" xfId="0" applyFont="1" applyBorder="1" applyAlignment="1" applyProtection="1">
      <alignment/>
      <protection hidden="1"/>
    </xf>
    <xf numFmtId="0" fontId="2" fillId="0" borderId="36" xfId="0" applyFont="1" applyFill="1" applyBorder="1" applyAlignment="1" applyProtection="1">
      <alignment/>
      <protection hidden="1"/>
    </xf>
    <xf numFmtId="0" fontId="2" fillId="0" borderId="29" xfId="0" applyFont="1" applyFill="1" applyBorder="1" applyAlignment="1" applyProtection="1">
      <alignment/>
      <protection hidden="1"/>
    </xf>
    <xf numFmtId="164" fontId="2" fillId="0" borderId="37" xfId="42" applyNumberFormat="1" applyFont="1" applyFill="1" applyBorder="1" applyAlignment="1" applyProtection="1">
      <alignment/>
      <protection hidden="1"/>
    </xf>
    <xf numFmtId="43" fontId="2" fillId="0" borderId="0" xfId="42" applyFont="1" applyBorder="1" applyAlignment="1" applyProtection="1">
      <alignment/>
      <protection hidden="1"/>
    </xf>
    <xf numFmtId="164" fontId="2" fillId="37" borderId="14" xfId="42" applyNumberFormat="1" applyFont="1" applyFill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37" borderId="14" xfId="0" applyFont="1" applyFill="1" applyBorder="1" applyAlignment="1" applyProtection="1">
      <alignment/>
      <protection hidden="1" locked="0"/>
    </xf>
    <xf numFmtId="9" fontId="2" fillId="37" borderId="14" xfId="0" applyNumberFormat="1" applyFont="1" applyFill="1" applyBorder="1" applyAlignment="1" applyProtection="1">
      <alignment/>
      <protection hidden="1" locked="0"/>
    </xf>
    <xf numFmtId="164" fontId="2" fillId="0" borderId="14" xfId="42" applyNumberFormat="1" applyFont="1" applyFill="1" applyBorder="1" applyAlignment="1" applyProtection="1">
      <alignment/>
      <protection hidden="1" locked="0"/>
    </xf>
    <xf numFmtId="9" fontId="2" fillId="38" borderId="14" xfId="61" applyFont="1" applyFill="1" applyBorder="1" applyAlignment="1" applyProtection="1">
      <alignment/>
      <protection hidden="1" locked="0"/>
    </xf>
    <xf numFmtId="164" fontId="2" fillId="38" borderId="14" xfId="42" applyNumberFormat="1" applyFont="1" applyFill="1" applyBorder="1" applyAlignment="1" applyProtection="1">
      <alignment/>
      <protection hidden="1" locked="0"/>
    </xf>
    <xf numFmtId="43" fontId="7" fillId="39" borderId="0" xfId="42" applyFont="1" applyFill="1" applyBorder="1" applyAlignment="1" applyProtection="1">
      <alignment horizontal="center"/>
      <protection hidden="1" locked="0"/>
    </xf>
    <xf numFmtId="164" fontId="2" fillId="2" borderId="14" xfId="42" applyNumberFormat="1" applyFont="1" applyFill="1" applyBorder="1" applyAlignment="1" applyProtection="1">
      <alignment/>
      <protection hidden="1" locked="0"/>
    </xf>
    <xf numFmtId="164" fontId="2" fillId="2" borderId="14" xfId="42" applyNumberFormat="1" applyFont="1" applyFill="1" applyBorder="1" applyAlignment="1" applyProtection="1">
      <alignment horizontal="center"/>
      <protection hidden="1" locked="0"/>
    </xf>
    <xf numFmtId="164" fontId="2" fillId="2" borderId="31" xfId="42" applyNumberFormat="1" applyFont="1" applyFill="1" applyBorder="1" applyAlignment="1" applyProtection="1">
      <alignment horizontal="center"/>
      <protection hidden="1" locked="0"/>
    </xf>
    <xf numFmtId="10" fontId="2" fillId="2" borderId="14" xfId="0" applyNumberFormat="1" applyFont="1" applyFill="1" applyBorder="1" applyAlignment="1" applyProtection="1">
      <alignment horizontal="center"/>
      <protection hidden="1" locked="0"/>
    </xf>
    <xf numFmtId="9" fontId="2" fillId="38" borderId="14" xfId="0" applyNumberFormat="1" applyFont="1" applyFill="1" applyBorder="1" applyAlignment="1" applyProtection="1">
      <alignment horizontal="center"/>
      <protection hidden="1" locked="0"/>
    </xf>
    <xf numFmtId="167" fontId="2" fillId="38" borderId="14" xfId="42" applyNumberFormat="1" applyFont="1" applyFill="1" applyBorder="1" applyAlignment="1" applyProtection="1">
      <alignment/>
      <protection hidden="1" locked="0"/>
    </xf>
    <xf numFmtId="167" fontId="2" fillId="38" borderId="15" xfId="42" applyNumberFormat="1" applyFont="1" applyFill="1" applyBorder="1" applyAlignment="1" applyProtection="1">
      <alignment/>
      <protection hidden="1" locked="0"/>
    </xf>
    <xf numFmtId="168" fontId="2" fillId="38" borderId="31" xfId="42" applyNumberFormat="1" applyFont="1" applyFill="1" applyBorder="1" applyAlignment="1" applyProtection="1">
      <alignment/>
      <protection hidden="1" locked="0"/>
    </xf>
    <xf numFmtId="168" fontId="2" fillId="38" borderId="32" xfId="42" applyNumberFormat="1" applyFont="1" applyFill="1" applyBorder="1" applyAlignment="1" applyProtection="1">
      <alignment/>
      <protection hidden="1" locked="0"/>
    </xf>
    <xf numFmtId="164" fontId="2" fillId="0" borderId="0" xfId="0" applyNumberFormat="1" applyFont="1" applyBorder="1" applyAlignment="1" applyProtection="1">
      <alignment/>
      <protection hidden="1"/>
    </xf>
    <xf numFmtId="165" fontId="71" fillId="0" borderId="0" xfId="42" applyNumberFormat="1" applyFont="1" applyAlignment="1" applyProtection="1">
      <alignment/>
      <protection hidden="1"/>
    </xf>
    <xf numFmtId="169" fontId="71" fillId="0" borderId="0" xfId="42" applyNumberFormat="1" applyFont="1" applyAlignment="1" applyProtection="1">
      <alignment/>
      <protection hidden="1"/>
    </xf>
    <xf numFmtId="43" fontId="2" fillId="0" borderId="0" xfId="42" applyNumberFormat="1" applyFont="1" applyFill="1" applyAlignment="1" applyProtection="1">
      <alignment/>
      <protection hidden="1"/>
    </xf>
    <xf numFmtId="164" fontId="66" fillId="0" borderId="0" xfId="44" applyNumberFormat="1" applyFont="1" applyAlignment="1" applyProtection="1">
      <alignment/>
      <protection hidden="1"/>
    </xf>
    <xf numFmtId="0" fontId="66" fillId="0" borderId="0" xfId="58" applyFont="1" applyProtection="1">
      <alignment/>
      <protection hidden="1"/>
    </xf>
    <xf numFmtId="10" fontId="67" fillId="0" borderId="0" xfId="62" applyNumberFormat="1" applyFont="1" applyAlignment="1" applyProtection="1">
      <alignment/>
      <protection hidden="1"/>
    </xf>
    <xf numFmtId="164" fontId="75" fillId="0" borderId="0" xfId="58" applyNumberFormat="1" applyFont="1" applyProtection="1">
      <alignment/>
      <protection hidden="1"/>
    </xf>
    <xf numFmtId="10" fontId="75" fillId="0" borderId="0" xfId="62" applyNumberFormat="1" applyFont="1" applyAlignment="1" applyProtection="1">
      <alignment/>
      <protection hidden="1"/>
    </xf>
    <xf numFmtId="164" fontId="2" fillId="37" borderId="14" xfId="44" applyNumberFormat="1" applyFont="1" applyFill="1" applyBorder="1" applyAlignment="1" applyProtection="1">
      <alignment/>
      <protection hidden="1" locked="0"/>
    </xf>
    <xf numFmtId="3" fontId="76" fillId="0" borderId="38" xfId="0" applyNumberFormat="1" applyFont="1" applyBorder="1" applyAlignment="1">
      <alignment vertical="top" wrapText="1"/>
    </xf>
    <xf numFmtId="3" fontId="76" fillId="0" borderId="39" xfId="0" applyNumberFormat="1" applyFont="1" applyBorder="1" applyAlignment="1">
      <alignment vertical="top" wrapText="1"/>
    </xf>
    <xf numFmtId="9" fontId="2" fillId="0" borderId="0" xfId="0" applyNumberFormat="1" applyFont="1" applyBorder="1" applyAlignment="1" applyProtection="1">
      <alignment/>
      <protection hidden="1"/>
    </xf>
    <xf numFmtId="43" fontId="66" fillId="0" borderId="0" xfId="42" applyFont="1" applyAlignment="1" applyProtection="1">
      <alignment/>
      <protection hidden="1"/>
    </xf>
    <xf numFmtId="0" fontId="71" fillId="38" borderId="0" xfId="0" applyFont="1" applyFill="1" applyAlignment="1" applyProtection="1">
      <alignment/>
      <protection hidden="1"/>
    </xf>
    <xf numFmtId="9" fontId="71" fillId="38" borderId="0" xfId="0" applyNumberFormat="1" applyFont="1" applyFill="1" applyAlignment="1" applyProtection="1">
      <alignment/>
      <protection hidden="1"/>
    </xf>
    <xf numFmtId="0" fontId="66" fillId="0" borderId="0" xfId="0" applyFont="1" applyFill="1" applyAlignment="1" applyProtection="1">
      <alignment horizontal="center"/>
      <protection hidden="1"/>
    </xf>
    <xf numFmtId="165" fontId="3" fillId="0" borderId="0" xfId="42" applyNumberFormat="1" applyFont="1" applyAlignment="1" applyProtection="1">
      <alignment/>
      <protection hidden="1"/>
    </xf>
    <xf numFmtId="0" fontId="2" fillId="10" borderId="10" xfId="0" applyFont="1" applyFill="1" applyBorder="1" applyAlignment="1" applyProtection="1">
      <alignment/>
      <protection hidden="1"/>
    </xf>
    <xf numFmtId="0" fontId="2" fillId="10" borderId="14" xfId="0" applyFont="1" applyFill="1" applyBorder="1" applyAlignment="1" applyProtection="1">
      <alignment/>
      <protection hidden="1"/>
    </xf>
    <xf numFmtId="164" fontId="2" fillId="0" borderId="14" xfId="42" applyNumberFormat="1" applyFont="1" applyFill="1" applyBorder="1" applyAlignment="1" applyProtection="1">
      <alignment/>
      <protection hidden="1"/>
    </xf>
    <xf numFmtId="164" fontId="2" fillId="0" borderId="31" xfId="42" applyNumberFormat="1" applyFont="1" applyFill="1" applyBorder="1" applyAlignment="1" applyProtection="1">
      <alignment/>
      <protection hidden="1"/>
    </xf>
    <xf numFmtId="164" fontId="2" fillId="10" borderId="14" xfId="42" applyNumberFormat="1" applyFont="1" applyFill="1" applyBorder="1" applyAlignment="1" applyProtection="1">
      <alignment/>
      <protection hidden="1"/>
    </xf>
    <xf numFmtId="164" fontId="2" fillId="10" borderId="31" xfId="42" applyNumberFormat="1" applyFont="1" applyFill="1" applyBorder="1" applyAlignment="1" applyProtection="1">
      <alignment/>
      <protection hidden="1"/>
    </xf>
    <xf numFmtId="164" fontId="2" fillId="0" borderId="15" xfId="42" applyNumberFormat="1" applyFont="1" applyFill="1" applyBorder="1" applyAlignment="1" applyProtection="1">
      <alignment/>
      <protection hidden="1"/>
    </xf>
    <xf numFmtId="164" fontId="2" fillId="0" borderId="32" xfId="42" applyNumberFormat="1" applyFont="1" applyFill="1" applyBorder="1" applyAlignment="1" applyProtection="1">
      <alignment/>
      <protection hidden="1"/>
    </xf>
    <xf numFmtId="9" fontId="66" fillId="0" borderId="0" xfId="61" applyFont="1" applyAlignment="1" applyProtection="1">
      <alignment/>
      <protection hidden="1"/>
    </xf>
    <xf numFmtId="9" fontId="66" fillId="0" borderId="0" xfId="61" applyNumberFormat="1" applyFont="1" applyAlignment="1" applyProtection="1">
      <alignment/>
      <protection hidden="1"/>
    </xf>
    <xf numFmtId="9" fontId="66" fillId="0" borderId="0" xfId="0" applyNumberFormat="1" applyFont="1" applyAlignment="1" applyProtection="1">
      <alignment/>
      <protection hidden="1"/>
    </xf>
    <xf numFmtId="164" fontId="2" fillId="0" borderId="0" xfId="61" applyNumberFormat="1" applyFont="1" applyAlignment="1" applyProtection="1">
      <alignment/>
      <protection hidden="1"/>
    </xf>
    <xf numFmtId="10" fontId="66" fillId="0" borderId="0" xfId="61" applyNumberFormat="1" applyFont="1" applyAlignment="1" applyProtection="1">
      <alignment/>
      <protection hidden="1"/>
    </xf>
    <xf numFmtId="164" fontId="77" fillId="0" borderId="0" xfId="42" applyNumberFormat="1" applyFont="1" applyAlignment="1" applyProtection="1">
      <alignment/>
      <protection hidden="1"/>
    </xf>
    <xf numFmtId="164" fontId="78" fillId="0" borderId="0" xfId="42" applyNumberFormat="1" applyFont="1" applyAlignment="1" applyProtection="1">
      <alignment/>
      <protection hidden="1"/>
    </xf>
    <xf numFmtId="43" fontId="2" fillId="4" borderId="31" xfId="42" applyFont="1" applyFill="1" applyBorder="1" applyAlignment="1" applyProtection="1">
      <alignment/>
      <protection hidden="1"/>
    </xf>
    <xf numFmtId="0" fontId="2" fillId="4" borderId="31" xfId="0" applyFont="1" applyFill="1" applyBorder="1" applyAlignment="1" applyProtection="1">
      <alignment/>
      <protection hidden="1"/>
    </xf>
    <xf numFmtId="43" fontId="2" fillId="4" borderId="14" xfId="42" applyFont="1" applyFill="1" applyBorder="1" applyAlignment="1" applyProtection="1">
      <alignment/>
      <protection hidden="1"/>
    </xf>
    <xf numFmtId="43" fontId="2" fillId="4" borderId="31" xfId="0" applyNumberFormat="1" applyFont="1" applyFill="1" applyBorder="1" applyAlignment="1" applyProtection="1">
      <alignment/>
      <protection hidden="1"/>
    </xf>
    <xf numFmtId="0" fontId="2" fillId="4" borderId="40" xfId="0" applyFont="1" applyFill="1" applyBorder="1" applyAlignment="1" applyProtection="1">
      <alignment/>
      <protection hidden="1"/>
    </xf>
    <xf numFmtId="0" fontId="3" fillId="16" borderId="41" xfId="0" applyFont="1" applyFill="1" applyBorder="1" applyAlignment="1" applyProtection="1">
      <alignment horizontal="center"/>
      <protection hidden="1"/>
    </xf>
    <xf numFmtId="0" fontId="3" fillId="16" borderId="42" xfId="0" applyFont="1" applyFill="1" applyBorder="1" applyAlignment="1" applyProtection="1">
      <alignment horizontal="center"/>
      <protection hidden="1"/>
    </xf>
    <xf numFmtId="0" fontId="3" fillId="16" borderId="43" xfId="0" applyFont="1" applyFill="1" applyBorder="1" applyAlignment="1" applyProtection="1">
      <alignment horizontal="center"/>
      <protection hidden="1"/>
    </xf>
    <xf numFmtId="0" fontId="3" fillId="16" borderId="12" xfId="0" applyFont="1" applyFill="1" applyBorder="1" applyAlignment="1" applyProtection="1">
      <alignment horizontal="center"/>
      <protection hidden="1"/>
    </xf>
    <xf numFmtId="0" fontId="5" fillId="4" borderId="44" xfId="0" applyFont="1" applyFill="1" applyBorder="1" applyAlignment="1" applyProtection="1">
      <alignment/>
      <protection hidden="1"/>
    </xf>
    <xf numFmtId="43" fontId="2" fillId="0" borderId="14" xfId="0" applyNumberFormat="1" applyFont="1" applyBorder="1" applyAlignment="1" applyProtection="1">
      <alignment/>
      <protection hidden="1"/>
    </xf>
    <xf numFmtId="0" fontId="79" fillId="0" borderId="10" xfId="0" applyFont="1" applyBorder="1" applyAlignment="1" applyProtection="1">
      <alignment/>
      <protection hidden="1"/>
    </xf>
    <xf numFmtId="0" fontId="79" fillId="0" borderId="14" xfId="0" applyFont="1" applyBorder="1" applyAlignment="1" applyProtection="1">
      <alignment/>
      <protection hidden="1"/>
    </xf>
    <xf numFmtId="43" fontId="79" fillId="0" borderId="14" xfId="0" applyNumberFormat="1" applyFont="1" applyBorder="1" applyAlignment="1" applyProtection="1">
      <alignment/>
      <protection hidden="1"/>
    </xf>
    <xf numFmtId="43" fontId="79" fillId="0" borderId="14" xfId="42" applyFont="1" applyBorder="1" applyAlignment="1" applyProtection="1">
      <alignment/>
      <protection hidden="1"/>
    </xf>
    <xf numFmtId="0" fontId="5" fillId="10" borderId="10" xfId="0" applyFont="1" applyFill="1" applyBorder="1" applyAlignment="1" applyProtection="1">
      <alignment/>
      <protection hidden="1"/>
    </xf>
    <xf numFmtId="0" fontId="5" fillId="4" borderId="10" xfId="0" applyFont="1" applyFill="1" applyBorder="1" applyAlignment="1" applyProtection="1">
      <alignment/>
      <protection hidden="1"/>
    </xf>
    <xf numFmtId="0" fontId="2" fillId="4" borderId="14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75" fontId="2" fillId="0" borderId="14" xfId="0" applyNumberFormat="1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2" fillId="4" borderId="45" xfId="0" applyFont="1" applyFill="1" applyBorder="1" applyAlignment="1" applyProtection="1">
      <alignment/>
      <protection hidden="1"/>
    </xf>
    <xf numFmtId="43" fontId="79" fillId="0" borderId="31" xfId="42" applyFont="1" applyBorder="1" applyAlignment="1" applyProtection="1">
      <alignment/>
      <protection hidden="1"/>
    </xf>
    <xf numFmtId="43" fontId="79" fillId="0" borderId="31" xfId="0" applyNumberFormat="1" applyFont="1" applyBorder="1" applyAlignment="1" applyProtection="1">
      <alignment/>
      <protection hidden="1"/>
    </xf>
    <xf numFmtId="43" fontId="3" fillId="0" borderId="32" xfId="0" applyNumberFormat="1" applyFont="1" applyBorder="1" applyAlignment="1" applyProtection="1">
      <alignment/>
      <protection hidden="1"/>
    </xf>
    <xf numFmtId="0" fontId="3" fillId="16" borderId="13" xfId="0" applyFont="1" applyFill="1" applyBorder="1" applyAlignment="1" applyProtection="1">
      <alignment horizontal="center"/>
      <protection hidden="1"/>
    </xf>
    <xf numFmtId="0" fontId="2" fillId="10" borderId="46" xfId="0" applyFont="1" applyFill="1" applyBorder="1" applyAlignment="1" applyProtection="1">
      <alignment/>
      <protection hidden="1"/>
    </xf>
    <xf numFmtId="0" fontId="2" fillId="10" borderId="47" xfId="0" applyFont="1" applyFill="1" applyBorder="1" applyAlignment="1" applyProtection="1">
      <alignment/>
      <protection hidden="1"/>
    </xf>
    <xf numFmtId="0" fontId="2" fillId="10" borderId="48" xfId="0" applyFont="1" applyFill="1" applyBorder="1" applyAlignment="1" applyProtection="1">
      <alignment/>
      <protection hidden="1"/>
    </xf>
    <xf numFmtId="0" fontId="2" fillId="10" borderId="49" xfId="0" applyFont="1" applyFill="1" applyBorder="1" applyAlignment="1" applyProtection="1">
      <alignment/>
      <protection hidden="1"/>
    </xf>
    <xf numFmtId="0" fontId="2" fillId="10" borderId="50" xfId="0" applyFont="1" applyFill="1" applyBorder="1" applyAlignment="1" applyProtection="1">
      <alignment/>
      <protection hidden="1"/>
    </xf>
    <xf numFmtId="0" fontId="8" fillId="10" borderId="51" xfId="0" applyFont="1" applyFill="1" applyBorder="1" applyAlignment="1" applyProtection="1">
      <alignment vertical="top"/>
      <protection hidden="1"/>
    </xf>
    <xf numFmtId="0" fontId="2" fillId="10" borderId="52" xfId="0" applyFont="1" applyFill="1" applyBorder="1" applyAlignment="1" applyProtection="1">
      <alignment/>
      <protection hidden="1"/>
    </xf>
    <xf numFmtId="0" fontId="2" fillId="10" borderId="53" xfId="0" applyFont="1" applyFill="1" applyBorder="1" applyAlignment="1" applyProtection="1">
      <alignment/>
      <protection hidden="1"/>
    </xf>
    <xf numFmtId="0" fontId="2" fillId="16" borderId="54" xfId="0" applyFont="1" applyFill="1" applyBorder="1" applyAlignment="1" applyProtection="1">
      <alignment/>
      <protection hidden="1"/>
    </xf>
    <xf numFmtId="0" fontId="2" fillId="16" borderId="55" xfId="0" applyFont="1" applyFill="1" applyBorder="1" applyAlignment="1" applyProtection="1">
      <alignment/>
      <protection hidden="1"/>
    </xf>
    <xf numFmtId="0" fontId="2" fillId="16" borderId="55" xfId="0" applyFont="1" applyFill="1" applyBorder="1" applyAlignment="1" applyProtection="1">
      <alignment horizontal="center"/>
      <protection hidden="1"/>
    </xf>
    <xf numFmtId="0" fontId="2" fillId="16" borderId="56" xfId="0" applyFont="1" applyFill="1" applyBorder="1" applyAlignment="1" applyProtection="1">
      <alignment horizontal="center"/>
      <protection hidden="1"/>
    </xf>
    <xf numFmtId="0" fontId="2" fillId="16" borderId="57" xfId="0" applyFont="1" applyFill="1" applyBorder="1" applyAlignment="1" applyProtection="1">
      <alignment/>
      <protection hidden="1"/>
    </xf>
    <xf numFmtId="0" fontId="2" fillId="16" borderId="58" xfId="0" applyFont="1" applyFill="1" applyBorder="1" applyAlignment="1" applyProtection="1">
      <alignment horizontal="center"/>
      <protection hidden="1"/>
    </xf>
    <xf numFmtId="0" fontId="2" fillId="10" borderId="59" xfId="0" applyFont="1" applyFill="1" applyBorder="1" applyAlignment="1" applyProtection="1">
      <alignment/>
      <protection hidden="1"/>
    </xf>
    <xf numFmtId="0" fontId="2" fillId="10" borderId="60" xfId="0" applyFont="1" applyFill="1" applyBorder="1" applyAlignment="1" applyProtection="1">
      <alignment/>
      <protection hidden="1"/>
    </xf>
    <xf numFmtId="0" fontId="2" fillId="0" borderId="61" xfId="0" applyFont="1" applyFill="1" applyBorder="1" applyAlignment="1" applyProtection="1">
      <alignment/>
      <protection hidden="1"/>
    </xf>
    <xf numFmtId="164" fontId="2" fillId="0" borderId="62" xfId="42" applyNumberFormat="1" applyFont="1" applyFill="1" applyBorder="1" applyAlignment="1" applyProtection="1">
      <alignment/>
      <protection hidden="1"/>
    </xf>
    <xf numFmtId="0" fontId="2" fillId="10" borderId="61" xfId="0" applyFont="1" applyFill="1" applyBorder="1" applyAlignment="1" applyProtection="1">
      <alignment/>
      <protection hidden="1"/>
    </xf>
    <xf numFmtId="164" fontId="2" fillId="10" borderId="62" xfId="42" applyNumberFormat="1" applyFont="1" applyFill="1" applyBorder="1" applyAlignment="1" applyProtection="1">
      <alignment/>
      <protection hidden="1"/>
    </xf>
    <xf numFmtId="0" fontId="2" fillId="0" borderId="63" xfId="0" applyFont="1" applyFill="1" applyBorder="1" applyAlignment="1" applyProtection="1">
      <alignment/>
      <protection hidden="1"/>
    </xf>
    <xf numFmtId="164" fontId="2" fillId="0" borderId="64" xfId="42" applyNumberFormat="1" applyFont="1" applyFill="1" applyBorder="1" applyAlignment="1" applyProtection="1">
      <alignment/>
      <protection hidden="1"/>
    </xf>
    <xf numFmtId="0" fontId="2" fillId="10" borderId="65" xfId="0" applyFont="1" applyFill="1" applyBorder="1" applyAlignment="1" applyProtection="1">
      <alignment/>
      <protection hidden="1"/>
    </xf>
    <xf numFmtId="0" fontId="2" fillId="10" borderId="66" xfId="0" applyFont="1" applyFill="1" applyBorder="1" applyAlignment="1" applyProtection="1">
      <alignment/>
      <protection hidden="1"/>
    </xf>
    <xf numFmtId="0" fontId="2" fillId="10" borderId="21" xfId="0" applyFont="1" applyFill="1" applyBorder="1" applyAlignment="1" applyProtection="1">
      <alignment/>
      <protection hidden="1"/>
    </xf>
    <xf numFmtId="0" fontId="2" fillId="10" borderId="22" xfId="0" applyFont="1" applyFill="1" applyBorder="1" applyAlignment="1" applyProtection="1">
      <alignment/>
      <protection hidden="1"/>
    </xf>
    <xf numFmtId="0" fontId="3" fillId="10" borderId="10" xfId="0" applyFont="1" applyFill="1" applyBorder="1" applyAlignment="1" applyProtection="1">
      <alignment/>
      <protection hidden="1"/>
    </xf>
    <xf numFmtId="165" fontId="2" fillId="10" borderId="14" xfId="0" applyNumberFormat="1" applyFont="1" applyFill="1" applyBorder="1" applyAlignment="1" applyProtection="1">
      <alignment/>
      <protection hidden="1"/>
    </xf>
    <xf numFmtId="165" fontId="2" fillId="10" borderId="61" xfId="0" applyNumberFormat="1" applyFont="1" applyFill="1" applyBorder="1" applyAlignment="1" applyProtection="1">
      <alignment/>
      <protection hidden="1"/>
    </xf>
    <xf numFmtId="0" fontId="3" fillId="10" borderId="11" xfId="0" applyFont="1" applyFill="1" applyBorder="1" applyAlignment="1" applyProtection="1">
      <alignment/>
      <protection hidden="1"/>
    </xf>
    <xf numFmtId="0" fontId="2" fillId="10" borderId="15" xfId="0" applyFont="1" applyFill="1" applyBorder="1" applyAlignment="1" applyProtection="1">
      <alignment/>
      <protection hidden="1"/>
    </xf>
    <xf numFmtId="165" fontId="2" fillId="10" borderId="15" xfId="0" applyNumberFormat="1" applyFont="1" applyFill="1" applyBorder="1" applyAlignment="1" applyProtection="1">
      <alignment/>
      <protection hidden="1"/>
    </xf>
    <xf numFmtId="165" fontId="2" fillId="10" borderId="63" xfId="0" applyNumberFormat="1" applyFont="1" applyFill="1" applyBorder="1" applyAlignment="1" applyProtection="1">
      <alignment/>
      <protection hidden="1"/>
    </xf>
    <xf numFmtId="0" fontId="2" fillId="16" borderId="41" xfId="0" applyFont="1" applyFill="1" applyBorder="1" applyAlignment="1" applyProtection="1">
      <alignment/>
      <protection hidden="1"/>
    </xf>
    <xf numFmtId="0" fontId="2" fillId="16" borderId="42" xfId="0" applyFont="1" applyFill="1" applyBorder="1" applyAlignment="1" applyProtection="1">
      <alignment/>
      <protection hidden="1"/>
    </xf>
    <xf numFmtId="0" fontId="2" fillId="16" borderId="43" xfId="0" applyFont="1" applyFill="1" applyBorder="1" applyAlignment="1" applyProtection="1">
      <alignment/>
      <protection hidden="1"/>
    </xf>
    <xf numFmtId="0" fontId="2" fillId="0" borderId="51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62" xfId="0" applyFont="1" applyBorder="1" applyAlignment="1" applyProtection="1">
      <alignment/>
      <protection hidden="1"/>
    </xf>
    <xf numFmtId="0" fontId="2" fillId="0" borderId="67" xfId="0" applyFont="1" applyBorder="1" applyAlignment="1" applyProtection="1">
      <alignment/>
      <protection hidden="1"/>
    </xf>
    <xf numFmtId="0" fontId="2" fillId="0" borderId="65" xfId="0" applyFont="1" applyBorder="1" applyAlignment="1" applyProtection="1">
      <alignment/>
      <protection hidden="1"/>
    </xf>
    <xf numFmtId="0" fontId="2" fillId="0" borderId="64" xfId="0" applyFont="1" applyBorder="1" applyAlignment="1" applyProtection="1">
      <alignment/>
      <protection hidden="1"/>
    </xf>
    <xf numFmtId="0" fontId="5" fillId="4" borderId="61" xfId="0" applyFont="1" applyFill="1" applyBorder="1" applyAlignment="1" applyProtection="1">
      <alignment vertical="top"/>
      <protection hidden="1"/>
    </xf>
    <xf numFmtId="164" fontId="2" fillId="0" borderId="61" xfId="42" applyNumberFormat="1" applyFont="1" applyFill="1" applyBorder="1" applyAlignment="1" applyProtection="1">
      <alignment vertical="top"/>
      <protection hidden="1"/>
    </xf>
    <xf numFmtId="164" fontId="2" fillId="0" borderId="61" xfId="42" applyNumberFormat="1" applyFont="1" applyBorder="1" applyAlignment="1" applyProtection="1">
      <alignment vertical="top"/>
      <protection hidden="1"/>
    </xf>
    <xf numFmtId="164" fontId="2" fillId="0" borderId="63" xfId="42" applyNumberFormat="1" applyFont="1" applyBorder="1" applyAlignment="1" applyProtection="1">
      <alignment vertical="top"/>
      <protection hidden="1"/>
    </xf>
    <xf numFmtId="0" fontId="2" fillId="4" borderId="61" xfId="0" applyFont="1" applyFill="1" applyBorder="1" applyAlignment="1" applyProtection="1">
      <alignment vertical="top"/>
      <protection hidden="1"/>
    </xf>
    <xf numFmtId="0" fontId="5" fillId="4" borderId="62" xfId="0" applyFont="1" applyFill="1" applyBorder="1" applyAlignment="1" applyProtection="1">
      <alignment vertical="top"/>
      <protection hidden="1"/>
    </xf>
    <xf numFmtId="0" fontId="2" fillId="0" borderId="61" xfId="0" applyFont="1" applyFill="1" applyBorder="1" applyAlignment="1" applyProtection="1">
      <alignment vertical="top"/>
      <protection hidden="1"/>
    </xf>
    <xf numFmtId="164" fontId="2" fillId="0" borderId="62" xfId="42" applyNumberFormat="1" applyFont="1" applyFill="1" applyBorder="1" applyAlignment="1" applyProtection="1">
      <alignment vertical="top"/>
      <protection hidden="1"/>
    </xf>
    <xf numFmtId="0" fontId="2" fillId="0" borderId="63" xfId="0" applyFont="1" applyFill="1" applyBorder="1" applyAlignment="1" applyProtection="1">
      <alignment vertical="top"/>
      <protection hidden="1"/>
    </xf>
    <xf numFmtId="164" fontId="2" fillId="0" borderId="64" xfId="42" applyNumberFormat="1" applyFont="1" applyFill="1" applyBorder="1" applyAlignment="1" applyProtection="1">
      <alignment vertical="top"/>
      <protection hidden="1"/>
    </xf>
    <xf numFmtId="10" fontId="2" fillId="0" borderId="62" xfId="0" applyNumberFormat="1" applyFont="1" applyFill="1" applyBorder="1" applyAlignment="1" applyProtection="1">
      <alignment vertical="top"/>
      <protection hidden="1"/>
    </xf>
    <xf numFmtId="164" fontId="2" fillId="0" borderId="63" xfId="42" applyNumberFormat="1" applyFont="1" applyFill="1" applyBorder="1" applyAlignment="1" applyProtection="1">
      <alignment vertical="top"/>
      <protection hidden="1"/>
    </xf>
    <xf numFmtId="10" fontId="2" fillId="0" borderId="61" xfId="0" applyNumberFormat="1" applyFont="1" applyFill="1" applyBorder="1" applyAlignment="1" applyProtection="1">
      <alignment vertical="top"/>
      <protection hidden="1"/>
    </xf>
    <xf numFmtId="164" fontId="2" fillId="0" borderId="62" xfId="42" applyNumberFormat="1" applyFont="1" applyBorder="1" applyAlignment="1" applyProtection="1">
      <alignment vertical="top"/>
      <protection hidden="1"/>
    </xf>
    <xf numFmtId="164" fontId="2" fillId="0" borderId="64" xfId="42" applyNumberFormat="1" applyFont="1" applyBorder="1" applyAlignment="1" applyProtection="1">
      <alignment vertical="top"/>
      <protection hidden="1"/>
    </xf>
    <xf numFmtId="0" fontId="5" fillId="4" borderId="21" xfId="0" applyFont="1" applyFill="1" applyBorder="1" applyAlignment="1" applyProtection="1">
      <alignment vertical="top"/>
      <protection hidden="1"/>
    </xf>
    <xf numFmtId="0" fontId="5" fillId="4" borderId="22" xfId="0" applyFont="1" applyFill="1" applyBorder="1" applyAlignment="1" applyProtection="1">
      <alignment vertical="top"/>
      <protection hidden="1"/>
    </xf>
    <xf numFmtId="164" fontId="2" fillId="0" borderId="21" xfId="42" applyNumberFormat="1" applyFont="1" applyFill="1" applyBorder="1" applyAlignment="1" applyProtection="1">
      <alignment vertical="top"/>
      <protection hidden="1"/>
    </xf>
    <xf numFmtId="0" fontId="5" fillId="0" borderId="22" xfId="0" applyFont="1" applyFill="1" applyBorder="1" applyAlignment="1" applyProtection="1">
      <alignment vertical="top"/>
      <protection hidden="1"/>
    </xf>
    <xf numFmtId="164" fontId="2" fillId="0" borderId="21" xfId="42" applyNumberFormat="1" applyFont="1" applyBorder="1" applyAlignment="1" applyProtection="1">
      <alignment vertical="top"/>
      <protection hidden="1"/>
    </xf>
    <xf numFmtId="164" fontId="2" fillId="0" borderId="22" xfId="42" applyNumberFormat="1" applyFont="1" applyFill="1" applyBorder="1" applyAlignment="1" applyProtection="1">
      <alignment vertical="top"/>
      <protection hidden="1"/>
    </xf>
    <xf numFmtId="164" fontId="2" fillId="0" borderId="65" xfId="42" applyNumberFormat="1" applyFont="1" applyBorder="1" applyAlignment="1" applyProtection="1">
      <alignment vertical="top"/>
      <protection hidden="1"/>
    </xf>
    <xf numFmtId="164" fontId="2" fillId="0" borderId="66" xfId="42" applyNumberFormat="1" applyFont="1" applyFill="1" applyBorder="1" applyAlignment="1" applyProtection="1">
      <alignment vertical="top"/>
      <protection hidden="1"/>
    </xf>
    <xf numFmtId="0" fontId="3" fillId="16" borderId="68" xfId="0" applyFont="1" applyFill="1" applyBorder="1" applyAlignment="1" applyProtection="1">
      <alignment vertical="top"/>
      <protection hidden="1"/>
    </xf>
    <xf numFmtId="0" fontId="3" fillId="16" borderId="69" xfId="0" applyFont="1" applyFill="1" applyBorder="1" applyAlignment="1" applyProtection="1">
      <alignment vertical="top"/>
      <protection hidden="1"/>
    </xf>
    <xf numFmtId="0" fontId="3" fillId="16" borderId="43" xfId="0" applyFont="1" applyFill="1" applyBorder="1" applyAlignment="1" applyProtection="1">
      <alignment vertical="top"/>
      <protection hidden="1"/>
    </xf>
    <xf numFmtId="0" fontId="3" fillId="16" borderId="43" xfId="0" applyFont="1" applyFill="1" applyBorder="1" applyAlignment="1" applyProtection="1">
      <alignment horizontal="right" vertical="top"/>
      <protection hidden="1"/>
    </xf>
    <xf numFmtId="0" fontId="3" fillId="16" borderId="69" xfId="0" applyFont="1" applyFill="1" applyBorder="1" applyAlignment="1" applyProtection="1">
      <alignment vertical="top" wrapText="1"/>
      <protection hidden="1"/>
    </xf>
    <xf numFmtId="0" fontId="3" fillId="16" borderId="42" xfId="0" applyFont="1" applyFill="1" applyBorder="1" applyAlignment="1" applyProtection="1">
      <alignment vertical="top"/>
      <protection hidden="1"/>
    </xf>
    <xf numFmtId="0" fontId="3" fillId="16" borderId="70" xfId="0" applyFont="1" applyFill="1" applyBorder="1" applyAlignment="1" applyProtection="1">
      <alignment horizontal="right" vertical="top"/>
      <protection hidden="1"/>
    </xf>
    <xf numFmtId="0" fontId="2" fillId="0" borderId="14" xfId="0" applyFont="1" applyFill="1" applyBorder="1" applyAlignment="1" applyProtection="1">
      <alignment vertical="top"/>
      <protection hidden="1"/>
    </xf>
    <xf numFmtId="9" fontId="2" fillId="0" borderId="61" xfId="0" applyNumberFormat="1" applyFont="1" applyFill="1" applyBorder="1" applyAlignment="1" applyProtection="1">
      <alignment vertical="top"/>
      <protection hidden="1"/>
    </xf>
    <xf numFmtId="165" fontId="2" fillId="0" borderId="61" xfId="42" applyNumberFormat="1" applyFont="1" applyFill="1" applyBorder="1" applyAlignment="1" applyProtection="1">
      <alignment vertical="top"/>
      <protection hidden="1"/>
    </xf>
    <xf numFmtId="0" fontId="2" fillId="0" borderId="21" xfId="0" applyFont="1" applyFill="1" applyBorder="1" applyAlignment="1" applyProtection="1">
      <alignment vertical="top"/>
      <protection hidden="1"/>
    </xf>
    <xf numFmtId="9" fontId="2" fillId="0" borderId="21" xfId="0" applyNumberFormat="1" applyFont="1" applyFill="1" applyBorder="1" applyAlignment="1" applyProtection="1">
      <alignment vertical="top"/>
      <protection hidden="1"/>
    </xf>
    <xf numFmtId="165" fontId="2" fillId="0" borderId="21" xfId="42" applyNumberFormat="1" applyFont="1" applyFill="1" applyBorder="1" applyAlignment="1" applyProtection="1">
      <alignment vertical="top"/>
      <protection hidden="1"/>
    </xf>
    <xf numFmtId="0" fontId="2" fillId="0" borderId="61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9" fontId="2" fillId="0" borderId="14" xfId="0" applyNumberFormat="1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/>
      <protection hidden="1"/>
    </xf>
    <xf numFmtId="164" fontId="2" fillId="0" borderId="22" xfId="42" applyNumberFormat="1" applyFont="1" applyFill="1" applyBorder="1" applyAlignment="1" applyProtection="1">
      <alignment/>
      <protection hidden="1"/>
    </xf>
    <xf numFmtId="165" fontId="2" fillId="0" borderId="14" xfId="42" applyNumberFormat="1" applyFont="1" applyFill="1" applyBorder="1" applyAlignment="1" applyProtection="1">
      <alignment/>
      <protection hidden="1"/>
    </xf>
    <xf numFmtId="164" fontId="2" fillId="0" borderId="61" xfId="42" applyNumberFormat="1" applyFont="1" applyBorder="1" applyAlignment="1" applyProtection="1">
      <alignment/>
      <protection hidden="1"/>
    </xf>
    <xf numFmtId="164" fontId="2" fillId="0" borderId="21" xfId="42" applyNumberFormat="1" applyFont="1" applyBorder="1" applyAlignment="1" applyProtection="1">
      <alignment/>
      <protection hidden="1"/>
    </xf>
    <xf numFmtId="164" fontId="2" fillId="0" borderId="22" xfId="42" applyNumberFormat="1" applyFont="1" applyBorder="1" applyAlignment="1" applyProtection="1">
      <alignment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80" fillId="0" borderId="35" xfId="0" applyFont="1" applyBorder="1" applyAlignment="1" applyProtection="1">
      <alignment horizontal="left" vertical="top" wrapText="1"/>
      <protection hidden="1"/>
    </xf>
    <xf numFmtId="0" fontId="80" fillId="0" borderId="0" xfId="0" applyFont="1" applyBorder="1" applyAlignment="1" applyProtection="1">
      <alignment horizontal="left" vertical="top" wrapText="1"/>
      <protection hidden="1"/>
    </xf>
    <xf numFmtId="0" fontId="80" fillId="0" borderId="28" xfId="0" applyFont="1" applyBorder="1" applyAlignment="1" applyProtection="1">
      <alignment horizontal="left" vertical="top" wrapText="1"/>
      <protection hidden="1"/>
    </xf>
    <xf numFmtId="0" fontId="2" fillId="0" borderId="35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0" borderId="28" xfId="0" applyFont="1" applyFill="1" applyBorder="1" applyAlignment="1" applyProtection="1">
      <alignment horizontal="left" vertical="top" wrapText="1"/>
      <protection hidden="1"/>
    </xf>
    <xf numFmtId="0" fontId="2" fillId="0" borderId="36" xfId="0" applyFont="1" applyFill="1" applyBorder="1" applyAlignment="1" applyProtection="1">
      <alignment horizontal="left" vertical="top" wrapText="1"/>
      <protection hidden="1"/>
    </xf>
    <xf numFmtId="0" fontId="2" fillId="0" borderId="29" xfId="0" applyFont="1" applyFill="1" applyBorder="1" applyAlignment="1" applyProtection="1">
      <alignment horizontal="left" vertical="top" wrapText="1"/>
      <protection hidden="1"/>
    </xf>
    <xf numFmtId="0" fontId="2" fillId="0" borderId="30" xfId="0" applyFont="1" applyFill="1" applyBorder="1" applyAlignment="1" applyProtection="1">
      <alignment horizontal="left" vertical="top" wrapText="1"/>
      <protection hidden="1"/>
    </xf>
    <xf numFmtId="164" fontId="2" fillId="0" borderId="48" xfId="42" applyNumberFormat="1" applyFont="1" applyFill="1" applyBorder="1" applyAlignment="1" applyProtection="1">
      <alignment horizontal="left" vertical="top" wrapText="1"/>
      <protection hidden="1"/>
    </xf>
    <xf numFmtId="164" fontId="2" fillId="0" borderId="49" xfId="42" applyNumberFormat="1" applyFont="1" applyFill="1" applyBorder="1" applyAlignment="1" applyProtection="1">
      <alignment horizontal="left" vertical="top" wrapText="1"/>
      <protection hidden="1"/>
    </xf>
    <xf numFmtId="164" fontId="2" fillId="0" borderId="50" xfId="42" applyNumberFormat="1" applyFont="1" applyFill="1" applyBorder="1" applyAlignment="1" applyProtection="1">
      <alignment horizontal="left" vertical="top" wrapText="1"/>
      <protection hidden="1"/>
    </xf>
    <xf numFmtId="164" fontId="2" fillId="0" borderId="61" xfId="42" applyNumberFormat="1" applyFont="1" applyFill="1" applyBorder="1" applyAlignment="1" applyProtection="1">
      <alignment horizontal="left"/>
      <protection hidden="1"/>
    </xf>
    <xf numFmtId="164" fontId="2" fillId="0" borderId="21" xfId="42" applyNumberFormat="1" applyFont="1" applyFill="1" applyBorder="1" applyAlignment="1" applyProtection="1">
      <alignment horizontal="left"/>
      <protection hidden="1"/>
    </xf>
    <xf numFmtId="164" fontId="2" fillId="0" borderId="22" xfId="42" applyNumberFormat="1" applyFont="1" applyFill="1" applyBorder="1" applyAlignment="1" applyProtection="1">
      <alignment horizontal="left"/>
      <protection hidden="1"/>
    </xf>
    <xf numFmtId="0" fontId="81" fillId="0" borderId="0" xfId="0" applyFont="1" applyBorder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24">
    <dxf>
      <font>
        <color theme="3"/>
      </font>
      <fill>
        <patternFill>
          <bgColor rgb="FF92D050"/>
        </patternFill>
      </fill>
    </dxf>
    <dxf>
      <font>
        <color rgb="FF0070C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rgb="FF0070C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.8515625" style="1" customWidth="1"/>
    <col min="2" max="2" width="2.421875" style="1" customWidth="1"/>
    <col min="3" max="3" width="9.140625" style="1" customWidth="1"/>
    <col min="4" max="4" width="11.7109375" style="1" customWidth="1"/>
    <col min="5" max="5" width="12.28125" style="1" customWidth="1"/>
    <col min="6" max="6" width="9.421875" style="1" customWidth="1"/>
    <col min="7" max="7" width="9.140625" style="1" customWidth="1"/>
    <col min="8" max="8" width="2.00390625" style="1" customWidth="1"/>
    <col min="9" max="9" width="2.28125" style="1" customWidth="1"/>
    <col min="10" max="10" width="18.140625" style="1" customWidth="1"/>
    <col min="11" max="11" width="24.57421875" style="1" customWidth="1"/>
    <col min="12" max="12" width="10.421875" style="1" customWidth="1"/>
    <col min="13" max="13" width="12.7109375" style="1" customWidth="1"/>
    <col min="14" max="14" width="13.28125" style="1" customWidth="1"/>
    <col min="15" max="15" width="0.9921875" style="1" customWidth="1"/>
    <col min="16" max="17" width="9.140625" style="1" customWidth="1"/>
    <col min="18" max="18" width="12.140625" style="1" customWidth="1"/>
    <col min="19" max="16384" width="9.140625" style="1" customWidth="1"/>
  </cols>
  <sheetData>
    <row r="1" spans="2:7" ht="13.5">
      <c r="B1" s="1" t="s">
        <v>120</v>
      </c>
      <c r="F1" s="2"/>
      <c r="G1" s="339" t="s">
        <v>121</v>
      </c>
    </row>
    <row r="2" ht="2.25" customHeight="1" thickBot="1"/>
    <row r="3" spans="2:18" ht="13.5">
      <c r="B3" s="321" t="s">
        <v>122</v>
      </c>
      <c r="C3" s="322"/>
      <c r="D3" s="322"/>
      <c r="E3" s="322"/>
      <c r="F3" s="322"/>
      <c r="G3" s="323"/>
      <c r="I3" s="321" t="s">
        <v>142</v>
      </c>
      <c r="J3" s="322"/>
      <c r="K3" s="322"/>
      <c r="L3" s="322"/>
      <c r="M3" s="322"/>
      <c r="N3" s="323"/>
      <c r="P3" s="126"/>
      <c r="Q3" s="127" t="s">
        <v>236</v>
      </c>
      <c r="R3" s="128"/>
    </row>
    <row r="4" spans="2:18" ht="1.5" customHeight="1">
      <c r="B4" s="129"/>
      <c r="G4" s="42"/>
      <c r="I4" s="129"/>
      <c r="N4" s="42"/>
      <c r="P4" s="129"/>
      <c r="R4" s="42"/>
    </row>
    <row r="5" spans="2:18" ht="13.5">
      <c r="B5" s="129" t="s">
        <v>114</v>
      </c>
      <c r="C5" s="1" t="s">
        <v>2</v>
      </c>
      <c r="G5" s="42"/>
      <c r="I5" s="130"/>
      <c r="J5" s="5"/>
      <c r="K5" s="5"/>
      <c r="L5" s="5"/>
      <c r="M5" s="5"/>
      <c r="N5" s="41"/>
      <c r="P5" s="129"/>
      <c r="R5" s="42"/>
    </row>
    <row r="6" spans="2:18" ht="1.5" customHeight="1">
      <c r="B6" s="129"/>
      <c r="G6" s="42"/>
      <c r="I6" s="130"/>
      <c r="J6" s="5"/>
      <c r="K6" s="5"/>
      <c r="L6" s="5"/>
      <c r="M6" s="5"/>
      <c r="N6" s="41"/>
      <c r="P6" s="129"/>
      <c r="R6" s="42"/>
    </row>
    <row r="7" spans="2:18" ht="13.5" customHeight="1">
      <c r="B7" s="129"/>
      <c r="C7" s="1" t="s">
        <v>1</v>
      </c>
      <c r="D7" s="1" t="s">
        <v>2</v>
      </c>
      <c r="E7" s="1" t="s">
        <v>13</v>
      </c>
      <c r="G7" s="42"/>
      <c r="I7" s="130"/>
      <c r="J7" s="5" t="s">
        <v>144</v>
      </c>
      <c r="K7" s="5" t="s">
        <v>145</v>
      </c>
      <c r="L7" s="5"/>
      <c r="M7" s="5"/>
      <c r="N7" s="41"/>
      <c r="P7" s="324" t="s">
        <v>243</v>
      </c>
      <c r="Q7" s="325"/>
      <c r="R7" s="326"/>
    </row>
    <row r="8" spans="2:18" ht="13.5">
      <c r="B8" s="129"/>
      <c r="C8" s="1">
        <v>1951</v>
      </c>
      <c r="D8" s="182">
        <v>54981</v>
      </c>
      <c r="E8" s="157"/>
      <c r="G8" s="42"/>
      <c r="I8" s="130" t="s">
        <v>114</v>
      </c>
      <c r="J8" s="5" t="s">
        <v>143</v>
      </c>
      <c r="K8" s="163" t="s">
        <v>148</v>
      </c>
      <c r="L8" s="131" t="s">
        <v>244</v>
      </c>
      <c r="M8" s="5"/>
      <c r="N8" s="41"/>
      <c r="P8" s="324"/>
      <c r="Q8" s="325"/>
      <c r="R8" s="326"/>
    </row>
    <row r="9" spans="2:18" ht="13.5">
      <c r="B9" s="129"/>
      <c r="C9" s="1">
        <v>1961</v>
      </c>
      <c r="D9" s="182">
        <v>67026</v>
      </c>
      <c r="E9" s="157"/>
      <c r="G9" s="42"/>
      <c r="I9" s="130"/>
      <c r="J9" s="5"/>
      <c r="K9" s="10"/>
      <c r="L9" s="5"/>
      <c r="M9" s="5"/>
      <c r="N9" s="41"/>
      <c r="P9" s="324"/>
      <c r="Q9" s="325"/>
      <c r="R9" s="326"/>
    </row>
    <row r="10" spans="2:18" ht="13.5">
      <c r="B10" s="129"/>
      <c r="C10" s="1">
        <v>1971</v>
      </c>
      <c r="D10" s="182">
        <v>87981</v>
      </c>
      <c r="E10" s="157"/>
      <c r="G10" s="42"/>
      <c r="I10" s="130"/>
      <c r="J10" s="132" t="s">
        <v>152</v>
      </c>
      <c r="L10" s="5"/>
      <c r="M10" s="5"/>
      <c r="N10" s="41"/>
      <c r="P10" s="324"/>
      <c r="Q10" s="325"/>
      <c r="R10" s="326"/>
    </row>
    <row r="11" spans="2:18" ht="13.5">
      <c r="B11" s="129"/>
      <c r="C11" s="1">
        <v>1981</v>
      </c>
      <c r="D11" s="156">
        <v>137927</v>
      </c>
      <c r="E11" s="157"/>
      <c r="G11" s="42"/>
      <c r="I11" s="130"/>
      <c r="J11" s="5" t="s">
        <v>1</v>
      </c>
      <c r="K11" s="11">
        <v>2011</v>
      </c>
      <c r="L11" s="11">
        <v>2021</v>
      </c>
      <c r="M11" s="11">
        <v>2031</v>
      </c>
      <c r="N11" s="133">
        <v>2041</v>
      </c>
      <c r="P11" s="324"/>
      <c r="Q11" s="325"/>
      <c r="R11" s="326"/>
    </row>
    <row r="12" spans="2:18" ht="13.5">
      <c r="B12" s="129"/>
      <c r="C12" s="1">
        <v>1991</v>
      </c>
      <c r="D12" s="156">
        <v>191000</v>
      </c>
      <c r="E12" s="157"/>
      <c r="G12" s="42"/>
      <c r="I12" s="130"/>
      <c r="J12" s="5" t="s">
        <v>2</v>
      </c>
      <c r="K12" s="164"/>
      <c r="L12" s="165"/>
      <c r="M12" s="165"/>
      <c r="N12" s="166"/>
      <c r="P12" s="324"/>
      <c r="Q12" s="325"/>
      <c r="R12" s="326"/>
    </row>
    <row r="13" spans="2:18" ht="13.5">
      <c r="B13" s="129"/>
      <c r="C13" s="1">
        <v>2001</v>
      </c>
      <c r="D13" s="156">
        <v>268823</v>
      </c>
      <c r="E13" s="156">
        <v>51000</v>
      </c>
      <c r="G13" s="42"/>
      <c r="I13" s="130"/>
      <c r="J13" s="5"/>
      <c r="K13" s="5"/>
      <c r="L13" s="5"/>
      <c r="M13" s="5"/>
      <c r="N13" s="41"/>
      <c r="P13" s="324"/>
      <c r="Q13" s="325"/>
      <c r="R13" s="326"/>
    </row>
    <row r="14" spans="2:18" ht="13.5">
      <c r="B14" s="129"/>
      <c r="G14" s="42"/>
      <c r="I14" s="130"/>
      <c r="J14" s="132" t="s">
        <v>227</v>
      </c>
      <c r="L14" s="5"/>
      <c r="M14" s="5"/>
      <c r="N14" s="41"/>
      <c r="P14" s="324"/>
      <c r="Q14" s="325"/>
      <c r="R14" s="326"/>
    </row>
    <row r="15" spans="2:18" ht="13.5">
      <c r="B15" s="129" t="s">
        <v>115</v>
      </c>
      <c r="C15" s="1" t="s">
        <v>237</v>
      </c>
      <c r="G15" s="42"/>
      <c r="I15" s="130"/>
      <c r="J15" s="5" t="s">
        <v>153</v>
      </c>
      <c r="K15" s="5" t="s">
        <v>154</v>
      </c>
      <c r="L15" s="5"/>
      <c r="M15" s="5"/>
      <c r="N15" s="41"/>
      <c r="P15" s="134"/>
      <c r="Q15" s="135"/>
      <c r="R15" s="136"/>
    </row>
    <row r="16" spans="2:18" ht="13.5">
      <c r="B16" s="129"/>
      <c r="C16" s="1" t="s">
        <v>1</v>
      </c>
      <c r="D16" s="1" t="s">
        <v>125</v>
      </c>
      <c r="E16" s="1" t="s">
        <v>238</v>
      </c>
      <c r="F16" s="1" t="s">
        <v>124</v>
      </c>
      <c r="G16" s="42"/>
      <c r="I16" s="130"/>
      <c r="J16" s="1" t="s">
        <v>153</v>
      </c>
      <c r="K16" s="11" t="s">
        <v>155</v>
      </c>
      <c r="L16" s="11" t="s">
        <v>156</v>
      </c>
      <c r="M16" s="137" t="s">
        <v>157</v>
      </c>
      <c r="N16" s="138" t="s">
        <v>158</v>
      </c>
      <c r="P16" s="139"/>
      <c r="Q16" s="140" t="s">
        <v>228</v>
      </c>
      <c r="R16" s="136"/>
    </row>
    <row r="17" spans="2:18" ht="13.5">
      <c r="B17" s="129"/>
      <c r="D17" s="141" t="s">
        <v>57</v>
      </c>
      <c r="E17" s="141" t="s">
        <v>126</v>
      </c>
      <c r="F17" s="141" t="s">
        <v>9</v>
      </c>
      <c r="G17" s="42"/>
      <c r="I17" s="130"/>
      <c r="J17" s="1" t="s">
        <v>159</v>
      </c>
      <c r="K17" s="167"/>
      <c r="L17" s="167"/>
      <c r="M17" s="167"/>
      <c r="N17" s="166"/>
      <c r="P17" s="134"/>
      <c r="Q17" s="135"/>
      <c r="R17" s="136"/>
    </row>
    <row r="18" spans="2:18" ht="13.5">
      <c r="B18" s="129"/>
      <c r="C18" s="158">
        <v>2009</v>
      </c>
      <c r="D18" s="156">
        <v>347495</v>
      </c>
      <c r="E18" s="158">
        <v>124.5</v>
      </c>
      <c r="F18" s="63">
        <f>E18*10^6/D18</f>
        <v>358.27853638181847</v>
      </c>
      <c r="G18" s="42"/>
      <c r="I18" s="130" t="s">
        <v>114</v>
      </c>
      <c r="J18" s="5" t="s">
        <v>309</v>
      </c>
      <c r="K18" s="5"/>
      <c r="L18" s="168">
        <v>0.6</v>
      </c>
      <c r="M18" s="10" t="s">
        <v>266</v>
      </c>
      <c r="N18" s="41"/>
      <c r="P18" s="142"/>
      <c r="Q18" s="140" t="s">
        <v>230</v>
      </c>
      <c r="R18" s="136"/>
    </row>
    <row r="19" spans="2:18" ht="13.5">
      <c r="B19" s="129" t="s">
        <v>116</v>
      </c>
      <c r="C19" s="1" t="s">
        <v>137</v>
      </c>
      <c r="G19" s="42"/>
      <c r="I19" s="130"/>
      <c r="J19" s="5"/>
      <c r="K19" s="5"/>
      <c r="L19" s="66">
        <f>100%-L18</f>
        <v>0.4</v>
      </c>
      <c r="M19" s="5" t="s">
        <v>310</v>
      </c>
      <c r="N19" s="41"/>
      <c r="P19" s="134"/>
      <c r="Q19" s="140" t="s">
        <v>229</v>
      </c>
      <c r="R19" s="136"/>
    </row>
    <row r="20" spans="2:18" ht="13.5">
      <c r="B20" s="129"/>
      <c r="C20" s="1" t="s">
        <v>138</v>
      </c>
      <c r="E20" s="159">
        <v>0.56</v>
      </c>
      <c r="F20" s="1" t="s">
        <v>226</v>
      </c>
      <c r="G20" s="42"/>
      <c r="I20" s="130" t="s">
        <v>115</v>
      </c>
      <c r="J20" s="1" t="s">
        <v>160</v>
      </c>
      <c r="K20" s="5" t="s">
        <v>161</v>
      </c>
      <c r="L20" s="5"/>
      <c r="M20" s="5"/>
      <c r="N20" s="41"/>
      <c r="P20" s="134"/>
      <c r="Q20" s="135"/>
      <c r="R20" s="136"/>
    </row>
    <row r="21" spans="2:18" ht="13.5">
      <c r="B21" s="129"/>
      <c r="C21" s="1" t="s">
        <v>139</v>
      </c>
      <c r="E21" s="159">
        <v>0.2</v>
      </c>
      <c r="F21" s="1" t="s">
        <v>226</v>
      </c>
      <c r="G21" s="42"/>
      <c r="I21" s="130"/>
      <c r="J21" s="1" t="s">
        <v>162</v>
      </c>
      <c r="K21" s="5"/>
      <c r="L21" s="168">
        <v>0.3</v>
      </c>
      <c r="M21" s="5"/>
      <c r="N21" s="41"/>
      <c r="P21" s="143"/>
      <c r="Q21" s="140" t="s">
        <v>235</v>
      </c>
      <c r="R21" s="136"/>
    </row>
    <row r="22" spans="2:18" ht="13.5">
      <c r="B22" s="129"/>
      <c r="C22" s="1" t="s">
        <v>239</v>
      </c>
      <c r="E22" s="64">
        <f>100%-E20-E21</f>
        <v>0.23999999999999994</v>
      </c>
      <c r="F22" s="1" t="s">
        <v>226</v>
      </c>
      <c r="G22" s="42"/>
      <c r="I22" s="130"/>
      <c r="J22" s="1" t="s">
        <v>163</v>
      </c>
      <c r="K22" s="5"/>
      <c r="L22" s="66">
        <f>100%-L21</f>
        <v>0.7</v>
      </c>
      <c r="M22" s="5"/>
      <c r="N22" s="41"/>
      <c r="P22" s="134"/>
      <c r="Q22" s="140" t="s">
        <v>233</v>
      </c>
      <c r="R22" s="136"/>
    </row>
    <row r="23" spans="2:18" ht="13.5">
      <c r="B23" s="129" t="s">
        <v>116</v>
      </c>
      <c r="C23" s="1" t="s">
        <v>141</v>
      </c>
      <c r="G23" s="42"/>
      <c r="I23" s="130"/>
      <c r="J23" s="5"/>
      <c r="K23" s="5"/>
      <c r="L23" s="5"/>
      <c r="M23" s="5"/>
      <c r="N23" s="41"/>
      <c r="P23" s="134"/>
      <c r="Q23" s="140"/>
      <c r="R23" s="144"/>
    </row>
    <row r="24" spans="2:18" ht="13.5">
      <c r="B24" s="129"/>
      <c r="C24" s="1" t="s">
        <v>250</v>
      </c>
      <c r="E24" s="156">
        <v>270</v>
      </c>
      <c r="F24" s="1" t="s">
        <v>73</v>
      </c>
      <c r="G24" s="42"/>
      <c r="I24" s="130" t="s">
        <v>116</v>
      </c>
      <c r="J24" s="5" t="s">
        <v>167</v>
      </c>
      <c r="K24" s="5"/>
      <c r="L24" s="5" t="s">
        <v>213</v>
      </c>
      <c r="N24" s="171">
        <f>6000000</f>
        <v>6000000</v>
      </c>
      <c r="P24" s="145"/>
      <c r="Q24" s="140" t="s">
        <v>234</v>
      </c>
      <c r="R24" s="144"/>
    </row>
    <row r="25" spans="2:18" ht="13.5">
      <c r="B25" s="129"/>
      <c r="C25" s="1" t="s">
        <v>127</v>
      </c>
      <c r="E25" s="156">
        <v>25</v>
      </c>
      <c r="F25" s="1" t="s">
        <v>73</v>
      </c>
      <c r="G25" s="42"/>
      <c r="I25" s="130"/>
      <c r="J25" s="5" t="s">
        <v>210</v>
      </c>
      <c r="K25" s="169">
        <v>250000</v>
      </c>
      <c r="L25" s="146" t="s">
        <v>180</v>
      </c>
      <c r="M25" s="5"/>
      <c r="N25" s="171">
        <v>1200000</v>
      </c>
      <c r="P25" s="134"/>
      <c r="Q25" s="140"/>
      <c r="R25" s="144"/>
    </row>
    <row r="26" spans="2:18" ht="13.5">
      <c r="B26" s="129"/>
      <c r="C26" s="1" t="s">
        <v>128</v>
      </c>
      <c r="E26" s="160"/>
      <c r="G26" s="42"/>
      <c r="I26" s="130"/>
      <c r="J26" s="5" t="s">
        <v>211</v>
      </c>
      <c r="K26" s="169">
        <v>10000</v>
      </c>
      <c r="L26" s="146" t="s">
        <v>206</v>
      </c>
      <c r="M26" s="5"/>
      <c r="N26" s="171">
        <v>800000</v>
      </c>
      <c r="P26" s="147"/>
      <c r="Q26" s="140" t="s">
        <v>231</v>
      </c>
      <c r="R26" s="136"/>
    </row>
    <row r="27" spans="2:18" ht="13.5">
      <c r="B27" s="129"/>
      <c r="C27" s="1" t="s">
        <v>130</v>
      </c>
      <c r="E27" s="161">
        <v>0.2</v>
      </c>
      <c r="F27" s="1" t="s">
        <v>129</v>
      </c>
      <c r="G27" s="148"/>
      <c r="I27" s="130"/>
      <c r="J27" s="5" t="s">
        <v>38</v>
      </c>
      <c r="K27" s="169">
        <v>5000</v>
      </c>
      <c r="L27" s="146" t="s">
        <v>181</v>
      </c>
      <c r="M27" s="5"/>
      <c r="N27" s="171">
        <v>300000</v>
      </c>
      <c r="P27" s="134"/>
      <c r="Q27" s="140" t="s">
        <v>232</v>
      </c>
      <c r="R27" s="136"/>
    </row>
    <row r="28" spans="2:18" ht="13.5">
      <c r="B28" s="129"/>
      <c r="C28" s="1" t="s">
        <v>131</v>
      </c>
      <c r="E28" s="161">
        <v>0.4</v>
      </c>
      <c r="F28" s="1" t="s">
        <v>129</v>
      </c>
      <c r="G28" s="148"/>
      <c r="I28" s="130"/>
      <c r="J28" s="5" t="s">
        <v>212</v>
      </c>
      <c r="K28" s="169">
        <v>50000</v>
      </c>
      <c r="L28" s="146" t="s">
        <v>182</v>
      </c>
      <c r="M28" s="5"/>
      <c r="N28" s="171">
        <v>1000000</v>
      </c>
      <c r="P28" s="149"/>
      <c r="Q28" s="35"/>
      <c r="R28" s="150"/>
    </row>
    <row r="29" spans="2:18" ht="13.5">
      <c r="B29" s="129"/>
      <c r="C29" s="1" t="s">
        <v>132</v>
      </c>
      <c r="E29" s="161">
        <v>0.3</v>
      </c>
      <c r="F29" s="1" t="s">
        <v>129</v>
      </c>
      <c r="G29" s="148"/>
      <c r="I29" s="130"/>
      <c r="J29" s="5" t="s">
        <v>279</v>
      </c>
      <c r="K29" s="169">
        <v>600000</v>
      </c>
      <c r="L29" s="146" t="s">
        <v>240</v>
      </c>
      <c r="M29" s="5"/>
      <c r="N29" s="171">
        <v>10000000</v>
      </c>
      <c r="P29" s="327" t="s">
        <v>242</v>
      </c>
      <c r="Q29" s="328"/>
      <c r="R29" s="329"/>
    </row>
    <row r="30" spans="2:18" ht="13.5">
      <c r="B30" s="129"/>
      <c r="C30" s="1" t="s">
        <v>135</v>
      </c>
      <c r="E30" s="64">
        <f>1-E27-E28-E29</f>
        <v>0.10000000000000003</v>
      </c>
      <c r="F30" s="1" t="s">
        <v>129</v>
      </c>
      <c r="G30" s="148"/>
      <c r="I30" s="130"/>
      <c r="J30" s="5" t="s">
        <v>278</v>
      </c>
      <c r="K30" s="169">
        <v>65000</v>
      </c>
      <c r="L30" s="1" t="s">
        <v>216</v>
      </c>
      <c r="M30" s="5"/>
      <c r="N30" s="171">
        <v>500</v>
      </c>
      <c r="P30" s="327"/>
      <c r="Q30" s="328"/>
      <c r="R30" s="329"/>
    </row>
    <row r="31" spans="2:18" ht="13.5">
      <c r="B31" s="129"/>
      <c r="C31" s="1" t="s">
        <v>136</v>
      </c>
      <c r="E31" s="162">
        <v>400</v>
      </c>
      <c r="F31" s="1" t="s">
        <v>140</v>
      </c>
      <c r="G31" s="148"/>
      <c r="I31" s="130"/>
      <c r="J31" s="5" t="s">
        <v>280</v>
      </c>
      <c r="K31" s="169">
        <v>900000</v>
      </c>
      <c r="L31" s="10" t="s">
        <v>241</v>
      </c>
      <c r="M31" s="5"/>
      <c r="N31" s="171">
        <v>1000</v>
      </c>
      <c r="P31" s="327"/>
      <c r="Q31" s="328"/>
      <c r="R31" s="329"/>
    </row>
    <row r="32" spans="2:18" ht="14.25" thickBot="1">
      <c r="B32" s="151"/>
      <c r="C32" s="44" t="s">
        <v>133</v>
      </c>
      <c r="D32" s="44"/>
      <c r="E32" s="65">
        <f>((($E$24*$E$27)/($E$31/1000))/1)+((($E$24*$E$28)/($E$31/1000))/2)+((($E$24*$E$29)/($E$31/1000))/7)+((($E$24*$E$30)/($E$31/1000))/15)</f>
        <v>303.42857142857144</v>
      </c>
      <c r="F32" s="44" t="s">
        <v>134</v>
      </c>
      <c r="G32" s="45"/>
      <c r="I32" s="152"/>
      <c r="J32" s="153" t="s">
        <v>175</v>
      </c>
      <c r="K32" s="170">
        <v>2000000</v>
      </c>
      <c r="L32" s="154" t="s">
        <v>217</v>
      </c>
      <c r="M32" s="153"/>
      <c r="N32" s="172">
        <v>250</v>
      </c>
      <c r="P32" s="330"/>
      <c r="Q32" s="331"/>
      <c r="R32" s="332"/>
    </row>
    <row r="34" ht="13.5">
      <c r="E34" s="155"/>
    </row>
    <row r="35" spans="5:6" ht="13.5">
      <c r="E35" s="54"/>
      <c r="F35" s="173"/>
    </row>
    <row r="36" spans="5:6" ht="13.5">
      <c r="E36" s="54"/>
      <c r="F36" s="173"/>
    </row>
    <row r="37" spans="5:6" ht="13.5">
      <c r="E37" s="54"/>
      <c r="F37" s="173"/>
    </row>
    <row r="38" spans="3:6" ht="13.5">
      <c r="C38" s="185"/>
      <c r="D38" s="54"/>
      <c r="E38" s="54"/>
      <c r="F38" s="173"/>
    </row>
    <row r="39" spans="3:6" ht="13.5">
      <c r="C39" s="185"/>
      <c r="D39" s="54"/>
      <c r="E39" s="54"/>
      <c r="F39" s="173"/>
    </row>
    <row r="40" spans="3:5" ht="13.5">
      <c r="C40" s="185"/>
      <c r="D40" s="54"/>
      <c r="E40" s="54"/>
    </row>
    <row r="42" ht="13.5">
      <c r="D42" s="54"/>
    </row>
  </sheetData>
  <sheetProtection password="CA9C" sheet="1" selectLockedCells="1"/>
  <mergeCells count="4">
    <mergeCell ref="B3:G3"/>
    <mergeCell ref="I3:N3"/>
    <mergeCell ref="P7:R14"/>
    <mergeCell ref="P29:R32"/>
  </mergeCells>
  <conditionalFormatting sqref="K8">
    <cfRule type="expression" priority="2" dxfId="4" stopIfTrue="1">
      <formula>"""Y"""</formula>
    </cfRule>
    <cfRule type="expression" priority="3" dxfId="3" stopIfTrue="1">
      <formula>"""N"""</formula>
    </cfRule>
  </conditionalFormatting>
  <conditionalFormatting sqref="K8">
    <cfRule type="containsText" priority="1" dxfId="0" operator="containsText" text="Y">
      <formula>NOT(ISERROR(SEARCH("Y",K8)))</formula>
    </cfRule>
  </conditionalFormatting>
  <dataValidations count="1">
    <dataValidation type="list" allowBlank="1" showInputMessage="1" showErrorMessage="1" sqref="K8">
      <formula1>"Arithmetic Growth Method (AM), Incremental Increase (IM), Geometric Growth Method (GM), Average of AM_IM_GM, Available Projected Data, Growth Rate based Projection"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07"/>
  <sheetViews>
    <sheetView showGridLines="0" zoomScalePageLayoutView="0" workbookViewId="0" topLeftCell="A80">
      <selection activeCell="I97" sqref="I97"/>
    </sheetView>
  </sheetViews>
  <sheetFormatPr defaultColWidth="9.140625" defaultRowHeight="12.75"/>
  <cols>
    <col min="1" max="1" width="9.140625" style="1" customWidth="1"/>
    <col min="2" max="2" width="0.5625" style="1" customWidth="1"/>
    <col min="3" max="3" width="9.140625" style="1" customWidth="1"/>
    <col min="4" max="4" width="19.421875" style="1" customWidth="1"/>
    <col min="5" max="5" width="9.421875" style="1" customWidth="1"/>
    <col min="6" max="6" width="13.28125" style="1" customWidth="1"/>
    <col min="7" max="7" width="8.7109375" style="1" customWidth="1"/>
    <col min="8" max="8" width="9.421875" style="1" customWidth="1"/>
    <col min="9" max="9" width="9.7109375" style="1" customWidth="1"/>
    <col min="10" max="10" width="10.28125" style="1" customWidth="1"/>
    <col min="11" max="11" width="9.140625" style="1" customWidth="1"/>
    <col min="12" max="12" width="9.28125" style="1" customWidth="1"/>
    <col min="13" max="13" width="9.57421875" style="1" customWidth="1"/>
    <col min="14" max="14" width="12.00390625" style="1" customWidth="1"/>
    <col min="15" max="15" width="9.8515625" style="1" bestFit="1" customWidth="1"/>
    <col min="16" max="16384" width="9.140625" style="1" customWidth="1"/>
  </cols>
  <sheetData>
    <row r="1" spans="2:7" ht="13.5">
      <c r="B1" s="1" t="str">
        <f>'INPUT DATA'!B1</f>
        <v>Municipal Solid Waste Management Master Plan:</v>
      </c>
      <c r="F1" s="2"/>
      <c r="G1" s="3" t="str">
        <f>'INPUT DATA'!G1</f>
        <v>Panipat</v>
      </c>
    </row>
    <row r="3" spans="2:14" ht="13.5">
      <c r="B3" s="4" t="s">
        <v>299</v>
      </c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</row>
    <row r="4" spans="2:15" ht="2.25" customHeight="1" thickBot="1">
      <c r="B4" s="4"/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</row>
    <row r="5" spans="2:20" ht="13.5">
      <c r="B5" s="5"/>
      <c r="C5" s="299" t="s">
        <v>1</v>
      </c>
      <c r="D5" s="300"/>
      <c r="E5" s="301" t="s">
        <v>2</v>
      </c>
      <c r="F5" s="300"/>
      <c r="G5" s="302" t="s">
        <v>5</v>
      </c>
      <c r="H5" s="303"/>
      <c r="I5" s="301" t="s">
        <v>13</v>
      </c>
      <c r="J5" s="300"/>
      <c r="K5" s="304"/>
      <c r="L5" s="305" t="s">
        <v>123</v>
      </c>
      <c r="M5" s="5"/>
      <c r="N5" s="5"/>
      <c r="O5" s="5"/>
      <c r="P5" s="5"/>
      <c r="Q5" s="5"/>
      <c r="R5" s="5"/>
      <c r="S5" s="5"/>
      <c r="T5" s="5"/>
    </row>
    <row r="6" spans="2:20" ht="13.5">
      <c r="B6" s="5"/>
      <c r="C6" s="7"/>
      <c r="D6" s="280"/>
      <c r="E6" s="281" t="s">
        <v>168</v>
      </c>
      <c r="F6" s="276"/>
      <c r="G6" s="281"/>
      <c r="H6" s="276"/>
      <c r="I6" s="281" t="s">
        <v>168</v>
      </c>
      <c r="J6" s="276"/>
      <c r="K6" s="291"/>
      <c r="L6" s="292" t="s">
        <v>11</v>
      </c>
      <c r="M6" s="5"/>
      <c r="N6" s="5"/>
      <c r="O6" s="5"/>
      <c r="P6" s="5"/>
      <c r="Q6" s="5"/>
      <c r="R6" s="5"/>
      <c r="S6" s="5"/>
      <c r="T6" s="5"/>
    </row>
    <row r="7" spans="2:20" ht="13.5">
      <c r="B7" s="5"/>
      <c r="C7" s="8">
        <f>Pop_Projection!A9</f>
        <v>2001</v>
      </c>
      <c r="D7" s="282"/>
      <c r="E7" s="283">
        <f>Pop_Projection!B9</f>
        <v>268823</v>
      </c>
      <c r="F7" s="277"/>
      <c r="G7" s="286">
        <f>Pop_Projection!C10</f>
        <v>0.3783294140198217</v>
      </c>
      <c r="H7" s="288"/>
      <c r="I7" s="283">
        <f>Pop_Projection!E9</f>
        <v>51000</v>
      </c>
      <c r="J7" s="277"/>
      <c r="K7" s="293"/>
      <c r="L7" s="294"/>
      <c r="M7" s="5"/>
      <c r="N7" s="5"/>
      <c r="O7" s="5"/>
      <c r="P7" s="5"/>
      <c r="Q7" s="5"/>
      <c r="R7" s="5"/>
      <c r="S7" s="5"/>
      <c r="T7" s="5"/>
    </row>
    <row r="8" spans="2:20" ht="13.5">
      <c r="B8" s="5"/>
      <c r="C8" s="8">
        <f>Waste_Projection!A6</f>
        <v>2011</v>
      </c>
      <c r="D8" s="282"/>
      <c r="E8" s="283">
        <f>Waste_Projection!B6</f>
        <v>370526.64806505054</v>
      </c>
      <c r="F8" s="277"/>
      <c r="G8" s="286">
        <f>Pop_Projection!C12</f>
        <v>0.3783294140198217</v>
      </c>
      <c r="H8" s="288"/>
      <c r="I8" s="289">
        <f>Waste_Projection!E6</f>
        <v>70294.80011501092</v>
      </c>
      <c r="J8" s="278"/>
      <c r="K8" s="295"/>
      <c r="L8" s="296">
        <f>Waste_Projection!D6</f>
        <v>136.52173674715223</v>
      </c>
      <c r="M8" s="5"/>
      <c r="N8" s="5"/>
      <c r="O8" s="5"/>
      <c r="P8" s="5"/>
      <c r="Q8" s="9"/>
      <c r="R8" s="5"/>
      <c r="S8" s="5"/>
      <c r="T8" s="5"/>
    </row>
    <row r="9" spans="2:20" ht="13.5">
      <c r="B9" s="5"/>
      <c r="C9" s="8">
        <f>Waste_Projection!A7</f>
        <v>2016</v>
      </c>
      <c r="D9" s="282"/>
      <c r="E9" s="283">
        <f>Waste_Projection!B7</f>
        <v>435006.7137576616</v>
      </c>
      <c r="F9" s="277"/>
      <c r="G9" s="286"/>
      <c r="H9" s="288"/>
      <c r="I9" s="289">
        <f>Waste_Projection!E7</f>
        <v>82527.6944370115</v>
      </c>
      <c r="J9" s="278"/>
      <c r="K9" s="295"/>
      <c r="L9" s="296">
        <f>Waste_Projection!D7</f>
        <v>171.9025148208111</v>
      </c>
      <c r="M9" s="5"/>
      <c r="N9" s="5"/>
      <c r="O9" s="5"/>
      <c r="P9" s="5"/>
      <c r="Q9" s="10"/>
      <c r="R9" s="5"/>
      <c r="S9" s="5"/>
      <c r="T9" s="5"/>
    </row>
    <row r="10" spans="2:20" ht="13.5">
      <c r="B10" s="5"/>
      <c r="C10" s="8">
        <f>Waste_Projection!A8</f>
        <v>2021</v>
      </c>
      <c r="D10" s="282"/>
      <c r="E10" s="283">
        <f>Waste_Projection!B8</f>
        <v>510707.7777062298</v>
      </c>
      <c r="F10" s="277"/>
      <c r="G10" s="286">
        <f>Pop_Projection!C14</f>
        <v>0.3783294140198217</v>
      </c>
      <c r="H10" s="288"/>
      <c r="I10" s="289">
        <f>Waste_Projection!E8</f>
        <v>96889.39065116349</v>
      </c>
      <c r="J10" s="278"/>
      <c r="K10" s="295"/>
      <c r="L10" s="296">
        <f>Waste_Projection!D8</f>
        <v>216.45252474665443</v>
      </c>
      <c r="M10" s="5"/>
      <c r="N10" s="5"/>
      <c r="O10" s="5"/>
      <c r="P10" s="10"/>
      <c r="Q10" s="5"/>
      <c r="R10" s="5"/>
      <c r="S10" s="5"/>
      <c r="T10" s="5"/>
    </row>
    <row r="11" spans="2:20" ht="13.5">
      <c r="B11" s="5"/>
      <c r="C11" s="8">
        <f>Waste_Projection!A9</f>
        <v>2026</v>
      </c>
      <c r="D11" s="282"/>
      <c r="E11" s="283">
        <f>Waste_Projection!B9</f>
        <v>599582.5488682861</v>
      </c>
      <c r="F11" s="277"/>
      <c r="G11" s="286"/>
      <c r="H11" s="288"/>
      <c r="I11" s="289">
        <f>Waste_Projection!E9</f>
        <v>113750.34871377297</v>
      </c>
      <c r="J11" s="278"/>
      <c r="K11" s="295"/>
      <c r="L11" s="296">
        <f>Waste_Projection!D9</f>
        <v>272.54805153978464</v>
      </c>
      <c r="M11" s="5"/>
      <c r="N11" s="5"/>
      <c r="O11" s="5"/>
      <c r="P11" s="5"/>
      <c r="Q11" s="11"/>
      <c r="R11" s="11"/>
      <c r="S11" s="11"/>
      <c r="T11" s="11"/>
    </row>
    <row r="12" spans="2:20" ht="13.5">
      <c r="B12" s="5"/>
      <c r="C12" s="8">
        <f>Waste_Projection!A10</f>
        <v>2031</v>
      </c>
      <c r="D12" s="282"/>
      <c r="E12" s="283">
        <f>Waste_Projection!B10</f>
        <v>703923.5519811931</v>
      </c>
      <c r="F12" s="277"/>
      <c r="G12" s="286">
        <f>Pop_Projection!C16</f>
        <v>0.3783294140198217</v>
      </c>
      <c r="H12" s="288"/>
      <c r="I12" s="289">
        <f>Waste_Projection!E10</f>
        <v>133545.49704095576</v>
      </c>
      <c r="J12" s="278"/>
      <c r="K12" s="295"/>
      <c r="L12" s="296">
        <f>Waste_Projection!D10</f>
        <v>343.1812148418069</v>
      </c>
      <c r="M12" s="5"/>
      <c r="N12" s="5"/>
      <c r="O12" s="5"/>
      <c r="P12" s="5"/>
      <c r="Q12" s="12"/>
      <c r="R12" s="13"/>
      <c r="S12" s="13"/>
      <c r="T12" s="13"/>
    </row>
    <row r="13" spans="2:20" ht="13.5">
      <c r="B13" s="5"/>
      <c r="C13" s="8">
        <f>Waste_Projection!A11</f>
        <v>2036</v>
      </c>
      <c r="D13" s="282"/>
      <c r="E13" s="283">
        <f>Waste_Projection!B11</f>
        <v>826422.2632381358</v>
      </c>
      <c r="F13" s="277"/>
      <c r="G13" s="286"/>
      <c r="H13" s="288"/>
      <c r="I13" s="289">
        <f>Waste_Projection!E11</f>
        <v>156785.45148720508</v>
      </c>
      <c r="J13" s="278"/>
      <c r="K13" s="295"/>
      <c r="L13" s="296">
        <f>Waste_Projection!D11</f>
        <v>432.1195677420083</v>
      </c>
      <c r="M13" s="5"/>
      <c r="N13" s="5"/>
      <c r="O13" s="5"/>
      <c r="P13" s="5"/>
      <c r="Q13" s="5"/>
      <c r="R13" s="5"/>
      <c r="S13" s="5"/>
      <c r="T13" s="5"/>
    </row>
    <row r="14" spans="2:20" ht="14.25" thickBot="1">
      <c r="B14" s="5"/>
      <c r="C14" s="14">
        <f>Waste_Projection!A12</f>
        <v>2041</v>
      </c>
      <c r="D14" s="284"/>
      <c r="E14" s="285">
        <f>Waste_Projection!B12</f>
        <v>970238.5369169894</v>
      </c>
      <c r="F14" s="287"/>
      <c r="G14" s="285"/>
      <c r="H14" s="287"/>
      <c r="I14" s="290">
        <f>Waste_Projection!E12</f>
        <v>184069.6866814464</v>
      </c>
      <c r="J14" s="279"/>
      <c r="K14" s="297"/>
      <c r="L14" s="298">
        <f>Waste_Projection!D12</f>
        <v>544.1070570008159</v>
      </c>
      <c r="M14" s="5"/>
      <c r="N14" s="5"/>
      <c r="O14" s="5"/>
      <c r="P14" s="10"/>
      <c r="Q14" s="5"/>
      <c r="R14" s="5"/>
      <c r="S14" s="5"/>
      <c r="T14" s="5"/>
    </row>
    <row r="15" spans="2:14" ht="6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3.5">
      <c r="B16" s="4" t="s">
        <v>300</v>
      </c>
      <c r="C16" s="5"/>
      <c r="D16" s="5"/>
      <c r="E16" s="5"/>
      <c r="F16" s="5"/>
      <c r="G16" s="5"/>
      <c r="H16" s="5"/>
      <c r="I16" s="5"/>
      <c r="J16" s="5"/>
      <c r="K16" s="11"/>
      <c r="L16" s="11"/>
      <c r="M16" s="11"/>
      <c r="N16" s="11"/>
    </row>
    <row r="17" spans="2:14" ht="1.5" customHeight="1" thickBot="1">
      <c r="B17" s="5"/>
      <c r="C17" s="5"/>
      <c r="D17" s="15"/>
      <c r="E17" s="15"/>
      <c r="F17" s="15"/>
      <c r="G17" s="5"/>
      <c r="H17" s="5"/>
      <c r="I17" s="5"/>
      <c r="J17" s="5"/>
      <c r="K17" s="16"/>
      <c r="L17" s="16"/>
      <c r="M17" s="16"/>
      <c r="N17" s="16"/>
    </row>
    <row r="18" spans="2:15" ht="13.5">
      <c r="B18" s="5"/>
      <c r="C18" s="242" t="s">
        <v>294</v>
      </c>
      <c r="D18" s="243"/>
      <c r="E18" s="243"/>
      <c r="F18" s="246"/>
      <c r="G18" s="247" t="s">
        <v>197</v>
      </c>
      <c r="H18" s="244" t="s">
        <v>198</v>
      </c>
      <c r="I18" s="244" t="s">
        <v>199</v>
      </c>
      <c r="J18" s="244" t="s">
        <v>200</v>
      </c>
      <c r="K18" s="244" t="s">
        <v>291</v>
      </c>
      <c r="L18" s="245" t="s">
        <v>290</v>
      </c>
      <c r="M18" s="5"/>
      <c r="N18" s="10"/>
      <c r="O18" s="5"/>
    </row>
    <row r="19" spans="2:15" ht="13.5">
      <c r="B19" s="5"/>
      <c r="C19" s="240" t="str">
        <f>Equipments!B13</f>
        <v>Containerized Push Carts for D2D Collection</v>
      </c>
      <c r="D19" s="241"/>
      <c r="E19" s="241"/>
      <c r="F19" s="248"/>
      <c r="G19" s="249"/>
      <c r="H19" s="241"/>
      <c r="I19" s="241"/>
      <c r="J19" s="241"/>
      <c r="K19" s="241"/>
      <c r="L19" s="59"/>
      <c r="M19" s="5"/>
      <c r="N19" s="10"/>
      <c r="O19" s="5"/>
    </row>
    <row r="20" spans="2:15" ht="13.5">
      <c r="B20" s="5"/>
      <c r="C20" s="19"/>
      <c r="D20" s="20" t="s">
        <v>274</v>
      </c>
      <c r="E20" s="20" t="s">
        <v>196</v>
      </c>
      <c r="F20" s="250"/>
      <c r="G20" s="251">
        <f>Equipments!C14</f>
        <v>217</v>
      </c>
      <c r="H20" s="193">
        <f>Equipments!D14</f>
        <v>255</v>
      </c>
      <c r="I20" s="193">
        <f>Equipments!E14</f>
        <v>299</v>
      </c>
      <c r="J20" s="193">
        <f>Equipments!F14</f>
        <v>351</v>
      </c>
      <c r="K20" s="193">
        <f>Equipments!G14</f>
        <v>412</v>
      </c>
      <c r="L20" s="194">
        <f>Equipments!H14</f>
        <v>483</v>
      </c>
      <c r="M20" s="5"/>
      <c r="N20" s="10"/>
      <c r="O20" s="5"/>
    </row>
    <row r="21" spans="2:15" ht="13.5">
      <c r="B21" s="5"/>
      <c r="C21" s="19"/>
      <c r="D21" s="20" t="s">
        <v>275</v>
      </c>
      <c r="E21" s="20" t="s">
        <v>196</v>
      </c>
      <c r="F21" s="250"/>
      <c r="G21" s="251">
        <f>Equipments!C17</f>
        <v>217</v>
      </c>
      <c r="H21" s="193">
        <f>Equipments!D17</f>
        <v>255</v>
      </c>
      <c r="I21" s="193">
        <f>Equipments!E17</f>
        <v>299</v>
      </c>
      <c r="J21" s="193">
        <f>Equipments!F17</f>
        <v>351</v>
      </c>
      <c r="K21" s="193">
        <f>Equipments!G17</f>
        <v>412</v>
      </c>
      <c r="L21" s="194">
        <f>Equipments!H17</f>
        <v>483</v>
      </c>
      <c r="M21" s="5"/>
      <c r="N21" s="5"/>
      <c r="O21" s="5"/>
    </row>
    <row r="22" spans="2:15" ht="13.5">
      <c r="B22" s="5"/>
      <c r="C22" s="191" t="str">
        <f>Equipments!B19</f>
        <v>Auto Tippers for D2D Collection</v>
      </c>
      <c r="D22" s="192"/>
      <c r="E22" s="192"/>
      <c r="F22" s="252"/>
      <c r="G22" s="253"/>
      <c r="H22" s="195"/>
      <c r="I22" s="195"/>
      <c r="J22" s="195"/>
      <c r="K22" s="195"/>
      <c r="L22" s="196"/>
      <c r="M22" s="5"/>
      <c r="N22" s="5"/>
      <c r="O22" s="5"/>
    </row>
    <row r="23" spans="2:15" ht="13.5">
      <c r="B23" s="5"/>
      <c r="C23" s="19"/>
      <c r="D23" s="20" t="s">
        <v>274</v>
      </c>
      <c r="E23" s="20" t="s">
        <v>196</v>
      </c>
      <c r="F23" s="250"/>
      <c r="G23" s="251">
        <f>Equipments!C20</f>
        <v>12</v>
      </c>
      <c r="H23" s="193">
        <f>Equipments!D20</f>
        <v>14</v>
      </c>
      <c r="I23" s="193">
        <f>Equipments!E20</f>
        <v>16</v>
      </c>
      <c r="J23" s="193">
        <f>Equipments!F20</f>
        <v>19</v>
      </c>
      <c r="K23" s="193">
        <f>Equipments!G20</f>
        <v>22</v>
      </c>
      <c r="L23" s="194">
        <f>Equipments!H20</f>
        <v>26</v>
      </c>
      <c r="M23" s="5"/>
      <c r="N23" s="5"/>
      <c r="O23" s="5"/>
    </row>
    <row r="24" spans="2:15" ht="13.5">
      <c r="B24" s="5"/>
      <c r="C24" s="19"/>
      <c r="D24" s="20" t="s">
        <v>275</v>
      </c>
      <c r="E24" s="20" t="s">
        <v>196</v>
      </c>
      <c r="F24" s="250"/>
      <c r="G24" s="251">
        <f>Equipments!C23</f>
        <v>12</v>
      </c>
      <c r="H24" s="193">
        <f>Equipments!D23</f>
        <v>2</v>
      </c>
      <c r="I24" s="193">
        <f>Equipments!E23</f>
        <v>2</v>
      </c>
      <c r="J24" s="193">
        <f>Equipments!F23</f>
        <v>15</v>
      </c>
      <c r="K24" s="193">
        <f>Equipments!G23</f>
        <v>5</v>
      </c>
      <c r="L24" s="194">
        <f>Equipments!H23</f>
        <v>6</v>
      </c>
      <c r="M24" s="21"/>
      <c r="N24" s="5"/>
      <c r="O24" s="5"/>
    </row>
    <row r="25" spans="2:15" ht="13.5">
      <c r="B25" s="5"/>
      <c r="C25" s="191" t="str">
        <f>Equipments!B26</f>
        <v>Push Carts for Street sweeping</v>
      </c>
      <c r="D25" s="192"/>
      <c r="E25" s="192"/>
      <c r="F25" s="252"/>
      <c r="G25" s="253"/>
      <c r="H25" s="195"/>
      <c r="I25" s="195"/>
      <c r="J25" s="195"/>
      <c r="K25" s="195"/>
      <c r="L25" s="196"/>
      <c r="M25" s="21"/>
      <c r="N25" s="5"/>
      <c r="O25" s="5"/>
    </row>
    <row r="26" spans="2:15" ht="13.5">
      <c r="B26" s="5"/>
      <c r="C26" s="19"/>
      <c r="D26" s="20" t="s">
        <v>274</v>
      </c>
      <c r="E26" s="20" t="s">
        <v>196</v>
      </c>
      <c r="F26" s="250"/>
      <c r="G26" s="251">
        <f>Equipments!C27</f>
        <v>380</v>
      </c>
      <c r="H26" s="193">
        <f>Equipments!D27</f>
        <v>387</v>
      </c>
      <c r="I26" s="193">
        <f>Equipments!E27</f>
        <v>395</v>
      </c>
      <c r="J26" s="193">
        <f>Equipments!F27</f>
        <v>404</v>
      </c>
      <c r="K26" s="193">
        <f>Equipments!G27</f>
        <v>415</v>
      </c>
      <c r="L26" s="194">
        <f>Equipments!H27</f>
        <v>428</v>
      </c>
      <c r="M26" s="21"/>
      <c r="N26" s="5"/>
      <c r="O26" s="5"/>
    </row>
    <row r="27" spans="2:15" ht="13.5">
      <c r="B27" s="5"/>
      <c r="C27" s="19"/>
      <c r="D27" s="20" t="s">
        <v>275</v>
      </c>
      <c r="E27" s="20" t="s">
        <v>196</v>
      </c>
      <c r="F27" s="250"/>
      <c r="G27" s="251">
        <f>Equipments!C30</f>
        <v>380</v>
      </c>
      <c r="H27" s="193">
        <f>Equipments!D30</f>
        <v>387</v>
      </c>
      <c r="I27" s="193">
        <f>Equipments!E30</f>
        <v>395</v>
      </c>
      <c r="J27" s="193">
        <f>Equipments!F30</f>
        <v>404</v>
      </c>
      <c r="K27" s="193">
        <f>Equipments!G30</f>
        <v>415</v>
      </c>
      <c r="L27" s="194">
        <f>Equipments!H30</f>
        <v>428</v>
      </c>
      <c r="M27" s="5"/>
      <c r="N27" s="5"/>
      <c r="O27" s="5"/>
    </row>
    <row r="28" spans="2:15" ht="13.5">
      <c r="B28" s="5"/>
      <c r="C28" s="191" t="str">
        <f>Equipments!B32</f>
        <v>Litter Bins</v>
      </c>
      <c r="D28" s="192"/>
      <c r="E28" s="192"/>
      <c r="F28" s="252"/>
      <c r="G28" s="253"/>
      <c r="H28" s="195"/>
      <c r="I28" s="195"/>
      <c r="J28" s="195"/>
      <c r="K28" s="195"/>
      <c r="L28" s="196"/>
      <c r="M28" s="5"/>
      <c r="N28" s="5"/>
      <c r="O28" s="5"/>
    </row>
    <row r="29" spans="2:15" ht="13.5">
      <c r="B29" s="5"/>
      <c r="C29" s="19"/>
      <c r="D29" s="20" t="s">
        <v>274</v>
      </c>
      <c r="E29" s="20" t="s">
        <v>196</v>
      </c>
      <c r="F29" s="250"/>
      <c r="G29" s="251">
        <f>Equipments!C33</f>
        <v>625</v>
      </c>
      <c r="H29" s="193">
        <f>Equipments!D33</f>
        <v>637</v>
      </c>
      <c r="I29" s="193">
        <f>Equipments!E33</f>
        <v>650</v>
      </c>
      <c r="J29" s="193">
        <f>Equipments!F33</f>
        <v>666</v>
      </c>
      <c r="K29" s="193">
        <f>Equipments!G33</f>
        <v>684</v>
      </c>
      <c r="L29" s="194">
        <f>Equipments!H33</f>
        <v>706</v>
      </c>
      <c r="M29" s="5"/>
      <c r="N29" s="5"/>
      <c r="O29" s="5"/>
    </row>
    <row r="30" spans="2:15" ht="13.5">
      <c r="B30" s="5"/>
      <c r="C30" s="19"/>
      <c r="D30" s="20" t="s">
        <v>275</v>
      </c>
      <c r="E30" s="20" t="s">
        <v>196</v>
      </c>
      <c r="F30" s="250"/>
      <c r="G30" s="251">
        <f>Equipments!C36</f>
        <v>625</v>
      </c>
      <c r="H30" s="193">
        <f>Equipments!D36</f>
        <v>637</v>
      </c>
      <c r="I30" s="193">
        <f>Equipments!E36</f>
        <v>650</v>
      </c>
      <c r="J30" s="193">
        <f>Equipments!F36</f>
        <v>666</v>
      </c>
      <c r="K30" s="193">
        <f>Equipments!G36</f>
        <v>684</v>
      </c>
      <c r="L30" s="194">
        <f>Equipments!H36</f>
        <v>706</v>
      </c>
      <c r="M30" s="5"/>
      <c r="N30" s="5"/>
      <c r="O30" s="5"/>
    </row>
    <row r="31" spans="2:15" ht="13.5">
      <c r="B31" s="5"/>
      <c r="C31" s="191" t="str">
        <f>Equipments!B39</f>
        <v>Closed Containers (3 m3 capacity)</v>
      </c>
      <c r="D31" s="192"/>
      <c r="E31" s="192"/>
      <c r="F31" s="252"/>
      <c r="G31" s="253"/>
      <c r="H31" s="195"/>
      <c r="I31" s="195"/>
      <c r="J31" s="195"/>
      <c r="K31" s="195"/>
      <c r="L31" s="196"/>
      <c r="M31" s="5"/>
      <c r="N31" s="5"/>
      <c r="O31" s="5"/>
    </row>
    <row r="32" spans="2:15" ht="13.5">
      <c r="B32" s="5"/>
      <c r="C32" s="19"/>
      <c r="D32" s="20" t="s">
        <v>274</v>
      </c>
      <c r="E32" s="20" t="s">
        <v>196</v>
      </c>
      <c r="F32" s="250"/>
      <c r="G32" s="251">
        <f>Equipments!C40</f>
        <v>61</v>
      </c>
      <c r="H32" s="193">
        <f>Equipments!D40</f>
        <v>77</v>
      </c>
      <c r="I32" s="193">
        <f>Equipments!E40</f>
        <v>97</v>
      </c>
      <c r="J32" s="193">
        <f>Equipments!F40</f>
        <v>122</v>
      </c>
      <c r="K32" s="193">
        <f>Equipments!G40</f>
        <v>153</v>
      </c>
      <c r="L32" s="194">
        <f>Equipments!H40</f>
        <v>193</v>
      </c>
      <c r="M32" s="5"/>
      <c r="N32" s="5"/>
      <c r="O32" s="5"/>
    </row>
    <row r="33" spans="2:15" ht="13.5">
      <c r="B33" s="5"/>
      <c r="C33" s="19"/>
      <c r="D33" s="20" t="s">
        <v>275</v>
      </c>
      <c r="E33" s="20" t="s">
        <v>196</v>
      </c>
      <c r="F33" s="250"/>
      <c r="G33" s="251">
        <f>Equipments!C43</f>
        <v>61</v>
      </c>
      <c r="H33" s="193">
        <f>Equipments!D43</f>
        <v>16</v>
      </c>
      <c r="I33" s="193">
        <f>Equipments!E43</f>
        <v>81</v>
      </c>
      <c r="J33" s="193">
        <f>Equipments!F43</f>
        <v>41</v>
      </c>
      <c r="K33" s="193">
        <f>Equipments!G43</f>
        <v>112</v>
      </c>
      <c r="L33" s="194">
        <f>Equipments!H43</f>
        <v>81</v>
      </c>
      <c r="M33" s="10"/>
      <c r="N33" s="5"/>
      <c r="O33" s="5"/>
    </row>
    <row r="34" spans="2:15" ht="13.5">
      <c r="B34" s="5"/>
      <c r="C34" s="191" t="str">
        <f>Equipments!B45</f>
        <v>Dumper Placers (twin containers of 3 m3)</v>
      </c>
      <c r="D34" s="192"/>
      <c r="E34" s="192"/>
      <c r="F34" s="252"/>
      <c r="G34" s="253"/>
      <c r="H34" s="195"/>
      <c r="I34" s="195"/>
      <c r="J34" s="195"/>
      <c r="K34" s="195"/>
      <c r="L34" s="196"/>
      <c r="M34" s="10"/>
      <c r="N34" s="5"/>
      <c r="O34" s="5"/>
    </row>
    <row r="35" spans="2:15" ht="13.5">
      <c r="B35" s="5"/>
      <c r="C35" s="19"/>
      <c r="D35" s="20" t="s">
        <v>274</v>
      </c>
      <c r="E35" s="20" t="s">
        <v>196</v>
      </c>
      <c r="F35" s="250"/>
      <c r="G35" s="251">
        <f>Equipments!C46</f>
        <v>4</v>
      </c>
      <c r="H35" s="193">
        <f>Equipments!D46</f>
        <v>5</v>
      </c>
      <c r="I35" s="193">
        <f>Equipments!E46</f>
        <v>7</v>
      </c>
      <c r="J35" s="193">
        <f>Equipments!F46</f>
        <v>8</v>
      </c>
      <c r="K35" s="193">
        <f>Equipments!G46</f>
        <v>10</v>
      </c>
      <c r="L35" s="194">
        <f>Equipments!H46</f>
        <v>13</v>
      </c>
      <c r="M35" s="10"/>
      <c r="N35" s="5"/>
      <c r="O35" s="5"/>
    </row>
    <row r="36" spans="2:15" ht="13.5">
      <c r="B36" s="5"/>
      <c r="C36" s="19"/>
      <c r="D36" s="20" t="s">
        <v>275</v>
      </c>
      <c r="E36" s="20" t="s">
        <v>196</v>
      </c>
      <c r="F36" s="250"/>
      <c r="G36" s="251">
        <f>Equipments!C49</f>
        <v>4</v>
      </c>
      <c r="H36" s="193">
        <f>Equipments!D49</f>
        <v>1</v>
      </c>
      <c r="I36" s="193">
        <f>Equipments!E49</f>
        <v>2</v>
      </c>
      <c r="J36" s="193">
        <f>Equipments!F49</f>
        <v>5</v>
      </c>
      <c r="K36" s="193">
        <f>Equipments!G49</f>
        <v>3</v>
      </c>
      <c r="L36" s="194">
        <f>Equipments!H49</f>
        <v>5</v>
      </c>
      <c r="M36" s="10"/>
      <c r="N36" s="5"/>
      <c r="O36" s="5"/>
    </row>
    <row r="37" spans="2:15" ht="13.5">
      <c r="B37" s="5"/>
      <c r="C37" s="191" t="str">
        <f>Equipments!B51</f>
        <v>Closed Containers (4.5 m3 capacity)</v>
      </c>
      <c r="D37" s="192"/>
      <c r="E37" s="192"/>
      <c r="F37" s="252"/>
      <c r="G37" s="253"/>
      <c r="H37" s="195"/>
      <c r="I37" s="195"/>
      <c r="J37" s="195"/>
      <c r="K37" s="195"/>
      <c r="L37" s="196"/>
      <c r="M37" s="5"/>
      <c r="N37" s="5"/>
      <c r="O37" s="5"/>
    </row>
    <row r="38" spans="2:15" ht="13.5">
      <c r="B38" s="5"/>
      <c r="C38" s="19"/>
      <c r="D38" s="20" t="s">
        <v>274</v>
      </c>
      <c r="E38" s="20" t="s">
        <v>196</v>
      </c>
      <c r="F38" s="250"/>
      <c r="G38" s="251">
        <f>Equipments!C52</f>
        <v>61</v>
      </c>
      <c r="H38" s="193">
        <f>Equipments!D52</f>
        <v>77</v>
      </c>
      <c r="I38" s="193">
        <f>Equipments!E52</f>
        <v>97</v>
      </c>
      <c r="J38" s="193">
        <f>Equipments!F52</f>
        <v>122</v>
      </c>
      <c r="K38" s="193">
        <f>Equipments!G52</f>
        <v>153</v>
      </c>
      <c r="L38" s="194">
        <f>Equipments!H52</f>
        <v>193</v>
      </c>
      <c r="M38" s="5"/>
      <c r="N38" s="5"/>
      <c r="O38" s="5"/>
    </row>
    <row r="39" spans="2:15" ht="13.5">
      <c r="B39" s="5"/>
      <c r="C39" s="19"/>
      <c r="D39" s="20" t="s">
        <v>275</v>
      </c>
      <c r="E39" s="20" t="s">
        <v>196</v>
      </c>
      <c r="F39" s="250"/>
      <c r="G39" s="251">
        <f>Equipments!C55</f>
        <v>61</v>
      </c>
      <c r="H39" s="193">
        <f>Equipments!D55</f>
        <v>16</v>
      </c>
      <c r="I39" s="193">
        <f>Equipments!E55</f>
        <v>81</v>
      </c>
      <c r="J39" s="193">
        <f>Equipments!F55</f>
        <v>41</v>
      </c>
      <c r="K39" s="193">
        <f>Equipments!G55</f>
        <v>112</v>
      </c>
      <c r="L39" s="194">
        <f>Equipments!H55</f>
        <v>81</v>
      </c>
      <c r="M39" s="10"/>
      <c r="N39" s="5"/>
      <c r="O39" s="5"/>
    </row>
    <row r="40" spans="2:15" ht="13.5">
      <c r="B40" s="5"/>
      <c r="C40" s="191" t="str">
        <f>Equipments!B57</f>
        <v>Dumper Placers (twin containers of 4.5 m3)</v>
      </c>
      <c r="D40" s="192"/>
      <c r="E40" s="192"/>
      <c r="F40" s="252"/>
      <c r="G40" s="253"/>
      <c r="H40" s="195"/>
      <c r="I40" s="195"/>
      <c r="J40" s="195"/>
      <c r="K40" s="195"/>
      <c r="L40" s="196"/>
      <c r="M40" s="10"/>
      <c r="N40" s="5"/>
      <c r="O40" s="5"/>
    </row>
    <row r="41" spans="2:15" ht="13.5">
      <c r="B41" s="5"/>
      <c r="C41" s="19"/>
      <c r="D41" s="20" t="s">
        <v>274</v>
      </c>
      <c r="E41" s="20" t="s">
        <v>196</v>
      </c>
      <c r="F41" s="250"/>
      <c r="G41" s="251">
        <f>Equipments!C58</f>
        <v>4</v>
      </c>
      <c r="H41" s="193">
        <f>Equipments!D58</f>
        <v>5</v>
      </c>
      <c r="I41" s="193">
        <f>Equipments!E58</f>
        <v>7</v>
      </c>
      <c r="J41" s="193">
        <f>Equipments!F58</f>
        <v>8</v>
      </c>
      <c r="K41" s="193">
        <f>Equipments!G58</f>
        <v>10</v>
      </c>
      <c r="L41" s="194">
        <f>Equipments!H58</f>
        <v>13</v>
      </c>
      <c r="M41" s="10"/>
      <c r="N41" s="5"/>
      <c r="O41" s="5"/>
    </row>
    <row r="42" spans="2:15" ht="14.25" thickBot="1">
      <c r="B42" s="5"/>
      <c r="C42" s="22"/>
      <c r="D42" s="23" t="s">
        <v>275</v>
      </c>
      <c r="E42" s="23" t="s">
        <v>196</v>
      </c>
      <c r="F42" s="254"/>
      <c r="G42" s="255">
        <f>Equipments!C61</f>
        <v>4</v>
      </c>
      <c r="H42" s="197">
        <f>Equipments!D61</f>
        <v>1</v>
      </c>
      <c r="I42" s="197">
        <f>Equipments!E61</f>
        <v>2</v>
      </c>
      <c r="J42" s="197">
        <f>Equipments!F61</f>
        <v>5</v>
      </c>
      <c r="K42" s="197">
        <f>Equipments!G61</f>
        <v>3</v>
      </c>
      <c r="L42" s="198">
        <f>Equipments!H61</f>
        <v>5</v>
      </c>
      <c r="M42" s="10"/>
      <c r="N42" s="5"/>
      <c r="O42" s="5"/>
    </row>
    <row r="43" spans="2:14" ht="6" customHeight="1">
      <c r="B43" s="5"/>
      <c r="C43" s="5"/>
      <c r="D43" s="5"/>
      <c r="E43" s="24"/>
      <c r="F43" s="5"/>
      <c r="G43" s="25"/>
      <c r="H43" s="5"/>
      <c r="I43" s="5"/>
      <c r="J43" s="5"/>
      <c r="K43" s="5"/>
      <c r="L43" s="10"/>
      <c r="M43" s="5"/>
      <c r="N43" s="25"/>
    </row>
    <row r="44" spans="2:14" ht="13.5">
      <c r="B44" s="4" t="s">
        <v>301</v>
      </c>
      <c r="C44" s="5"/>
      <c r="D44" s="5"/>
      <c r="E44" s="24"/>
      <c r="F44" s="5"/>
      <c r="G44" s="25"/>
      <c r="H44" s="5"/>
      <c r="I44" s="5"/>
      <c r="J44" s="5"/>
      <c r="K44" s="5"/>
      <c r="L44" s="10"/>
      <c r="M44" s="5"/>
      <c r="N44" s="25"/>
    </row>
    <row r="45" spans="2:14" ht="1.5" customHeight="1" thickBot="1">
      <c r="B45" s="4"/>
      <c r="C45" s="5"/>
      <c r="D45" s="5"/>
      <c r="E45" s="24"/>
      <c r="F45" s="5"/>
      <c r="G45" s="25"/>
      <c r="H45" s="5"/>
      <c r="I45" s="5"/>
      <c r="J45" s="5"/>
      <c r="K45" s="5"/>
      <c r="L45" s="10"/>
      <c r="M45" s="5"/>
      <c r="N45" s="25"/>
    </row>
    <row r="46" spans="2:14" ht="13.5">
      <c r="B46" s="5"/>
      <c r="C46" s="26" t="s">
        <v>144</v>
      </c>
      <c r="D46" s="27"/>
      <c r="E46" s="28"/>
      <c r="F46" s="29"/>
      <c r="G46" s="29"/>
      <c r="H46" s="30"/>
      <c r="I46" s="30"/>
      <c r="J46" s="30"/>
      <c r="K46" s="30"/>
      <c r="L46" s="31"/>
      <c r="M46" s="5"/>
      <c r="N46" s="25"/>
    </row>
    <row r="47" spans="2:14" ht="13.5">
      <c r="B47" s="5"/>
      <c r="C47" s="239" t="s">
        <v>220</v>
      </c>
      <c r="D47" s="32"/>
      <c r="E47" s="32"/>
      <c r="F47" s="33"/>
      <c r="G47" s="33"/>
      <c r="H47" s="32"/>
      <c r="I47" s="32"/>
      <c r="J47" s="32"/>
      <c r="K47" s="32"/>
      <c r="L47" s="34"/>
      <c r="M47" s="5"/>
      <c r="N47" s="25"/>
    </row>
    <row r="48" spans="2:14" ht="13.5">
      <c r="B48" s="5"/>
      <c r="C48" s="8" t="s">
        <v>281</v>
      </c>
      <c r="D48" s="306"/>
      <c r="E48" s="277">
        <f>'Compost &amp; Landfil'!C13</f>
        <v>20</v>
      </c>
      <c r="F48" s="277">
        <f>'Compost &amp; Landfil'!D13</f>
        <v>30</v>
      </c>
      <c r="G48" s="293"/>
      <c r="H48" s="309"/>
      <c r="I48" s="309"/>
      <c r="J48" s="309"/>
      <c r="K48" s="309"/>
      <c r="L48" s="296"/>
      <c r="M48" s="5"/>
      <c r="N48" s="25"/>
    </row>
    <row r="49" spans="2:14" ht="13.5">
      <c r="B49" s="5"/>
      <c r="C49" s="8" t="s">
        <v>282</v>
      </c>
      <c r="D49" s="306"/>
      <c r="E49" s="307">
        <f>'Compost &amp; Landfil'!C7</f>
        <v>0.56</v>
      </c>
      <c r="F49" s="307">
        <f>'Compost &amp; Landfil'!D7</f>
        <v>0.56</v>
      </c>
      <c r="G49" s="310"/>
      <c r="H49" s="309"/>
      <c r="I49" s="309"/>
      <c r="J49" s="309"/>
      <c r="K49" s="309"/>
      <c r="L49" s="296"/>
      <c r="M49" s="5"/>
      <c r="N49" s="25"/>
    </row>
    <row r="50" spans="2:14" ht="13.5">
      <c r="B50" s="5"/>
      <c r="C50" s="8" t="s">
        <v>307</v>
      </c>
      <c r="D50" s="306"/>
      <c r="E50" s="277">
        <f>'Compost &amp; Landfil'!C14</f>
        <v>192.18148031141186</v>
      </c>
      <c r="F50" s="277">
        <f>'Compost &amp; Landfil'!D14</f>
        <v>304.6999519204569</v>
      </c>
      <c r="G50" s="293"/>
      <c r="H50" s="309"/>
      <c r="I50" s="309"/>
      <c r="J50" s="309"/>
      <c r="K50" s="309"/>
      <c r="L50" s="296"/>
      <c r="M50" s="5"/>
      <c r="N50" s="25"/>
    </row>
    <row r="51" spans="2:14" ht="13.5">
      <c r="B51" s="5"/>
      <c r="C51" s="8" t="s">
        <v>306</v>
      </c>
      <c r="D51" s="306"/>
      <c r="E51" s="308">
        <f>'Compost &amp; Landfil'!C26</f>
        <v>2.9295</v>
      </c>
      <c r="F51" s="308">
        <f>'Compost &amp; Landfil'!D26</f>
        <v>4.6305</v>
      </c>
      <c r="G51" s="311"/>
      <c r="H51" s="309"/>
      <c r="I51" s="309"/>
      <c r="J51" s="309"/>
      <c r="K51" s="309"/>
      <c r="L51" s="296"/>
      <c r="M51" s="5"/>
      <c r="N51" s="5"/>
    </row>
    <row r="52" spans="3:12" ht="28.5" customHeight="1">
      <c r="C52" s="36" t="s">
        <v>201</v>
      </c>
      <c r="D52" s="37"/>
      <c r="E52" s="333" t="str">
        <f>CONCATENATE('Compost &amp; Landfil'!B29,"-",'Compost &amp; Landfil'!C29,", ",'Compost &amp; Landfil'!B30,"-",'Compost &amp; Landfil'!C30,", ",'Compost &amp; Landfil'!B31,"-",'Compost &amp; Landfil'!C31,", ",'Compost &amp; Landfil'!B32,"-",'Compost &amp; Landfil'!C32,", ",'Compost &amp; Landfil'!B33,"-",'Compost &amp; Landfil'!C33,", ",'Compost &amp; Landfil'!B34,"-",'Compost &amp; Landfil'!C34)</f>
        <v>Backhoe Loader-1, Tipper Truck-2, Tipper Tractor -2, Water Tanker (3000 lt)-1, Weight Bridge (20 MT)-1, Plant &amp; Machinery-1</v>
      </c>
      <c r="F52" s="334"/>
      <c r="G52" s="334"/>
      <c r="H52" s="334"/>
      <c r="I52" s="334"/>
      <c r="J52" s="334"/>
      <c r="K52" s="334"/>
      <c r="L52" s="335"/>
    </row>
    <row r="53" spans="3:12" ht="13.5">
      <c r="C53" s="38" t="s">
        <v>221</v>
      </c>
      <c r="D53" s="39"/>
      <c r="E53" s="39"/>
      <c r="F53" s="39"/>
      <c r="G53" s="39" t="str">
        <f aca="true" t="shared" si="0" ref="G53:L53">G18</f>
        <v>2011-16</v>
      </c>
      <c r="H53" s="39" t="str">
        <f t="shared" si="0"/>
        <v>2016-21</v>
      </c>
      <c r="I53" s="39" t="str">
        <f t="shared" si="0"/>
        <v>2021-26</v>
      </c>
      <c r="J53" s="39" t="str">
        <f t="shared" si="0"/>
        <v>2026-31</v>
      </c>
      <c r="K53" s="39" t="str">
        <f t="shared" si="0"/>
        <v>2031-36</v>
      </c>
      <c r="L53" s="40" t="str">
        <f t="shared" si="0"/>
        <v>2036-41</v>
      </c>
    </row>
    <row r="54" spans="3:12" ht="13.5">
      <c r="C54" s="19" t="s">
        <v>283</v>
      </c>
      <c r="D54" s="20"/>
      <c r="E54" s="193">
        <f>'Compost &amp; Landfil'!C41</f>
        <v>20</v>
      </c>
      <c r="F54" s="193">
        <f>'Compost &amp; Landfil'!D41</f>
        <v>30</v>
      </c>
      <c r="G54" s="193"/>
      <c r="H54" s="47"/>
      <c r="I54" s="47"/>
      <c r="J54" s="312"/>
      <c r="K54" s="271"/>
      <c r="L54" s="313"/>
    </row>
    <row r="55" spans="2:14" ht="13.5">
      <c r="B55" s="5"/>
      <c r="C55" s="19" t="s">
        <v>295</v>
      </c>
      <c r="D55" s="20"/>
      <c r="E55" s="314">
        <f>'Compost &amp; Landfil'!C42</f>
        <v>0.29599999999999993</v>
      </c>
      <c r="F55" s="314">
        <f>'Compost &amp; Landfil'!D42</f>
        <v>0.29599999999999993</v>
      </c>
      <c r="G55" s="314"/>
      <c r="H55" s="20"/>
      <c r="I55" s="20"/>
      <c r="J55" s="250"/>
      <c r="K55" s="315"/>
      <c r="L55" s="316"/>
      <c r="M55" s="5"/>
      <c r="N55" s="25"/>
    </row>
    <row r="56" spans="3:12" ht="13.5">
      <c r="C56" s="19" t="s">
        <v>284</v>
      </c>
      <c r="D56" s="20"/>
      <c r="E56" s="193">
        <f>'Compost &amp; Landfil'!C44</f>
        <v>518271.0688967112</v>
      </c>
      <c r="F56" s="193">
        <f>'Compost &amp; Landfil'!D44</f>
        <v>1103027.0231479567</v>
      </c>
      <c r="G56" s="193"/>
      <c r="H56" s="47"/>
      <c r="I56" s="47"/>
      <c r="J56" s="312"/>
      <c r="K56" s="271"/>
      <c r="L56" s="313"/>
    </row>
    <row r="57" spans="3:12" ht="13.5">
      <c r="C57" s="19" t="s">
        <v>285</v>
      </c>
      <c r="D57" s="20"/>
      <c r="E57" s="317">
        <f>'Compost &amp; Landfil'!C57</f>
        <v>9.219556436545403</v>
      </c>
      <c r="F57" s="317">
        <f>'Compost &amp; Landfil'!D57</f>
        <v>19.621816653967947</v>
      </c>
      <c r="G57" s="317"/>
      <c r="H57" s="47"/>
      <c r="I57" s="47"/>
      <c r="J57" s="312"/>
      <c r="K57" s="271"/>
      <c r="L57" s="313"/>
    </row>
    <row r="58" spans="3:13" ht="13.5">
      <c r="C58" s="19" t="s">
        <v>286</v>
      </c>
      <c r="D58" s="20"/>
      <c r="E58" s="193">
        <f>'Compost &amp; Landfil'!C65</f>
        <v>58305.49525088002</v>
      </c>
      <c r="F58" s="48">
        <f>'Compost &amp; Landfil'!D65</f>
        <v>124090.54010414511</v>
      </c>
      <c r="G58" s="48">
        <f>'Compost &amp; Landfil'!D66</f>
        <v>9982.091346428884</v>
      </c>
      <c r="H58" s="48">
        <f>'Compost &amp; Landfil'!D67</f>
        <v>12569.035865696873</v>
      </c>
      <c r="I58" s="48">
        <f>'Compost &amp; Landfil'!D68</f>
        <v>15826.409227330121</v>
      </c>
      <c r="J58" s="318">
        <f>'Compost &amp; Landfil'!D69</f>
        <v>19927.95881142414</v>
      </c>
      <c r="K58" s="319">
        <f>'Compost &amp; Landfil'!D70</f>
        <v>28615.069699050546</v>
      </c>
      <c r="L58" s="320">
        <f>'Compost &amp; Landfil'!D71</f>
        <v>37169.975154214546</v>
      </c>
      <c r="M58" s="43"/>
    </row>
    <row r="59" spans="3:12" ht="13.5">
      <c r="C59" s="19" t="s">
        <v>201</v>
      </c>
      <c r="D59" s="20"/>
      <c r="E59" s="336" t="str">
        <f>CONCATENATE('Compost &amp; Landfil'!B60,"-",'Compost &amp; Landfil'!C60,", ",'Compost &amp; Landfil'!B61,"-",'Compost &amp; Landfil'!C61)</f>
        <v>Backhoe Loader-1, Bull Dozer-1</v>
      </c>
      <c r="F59" s="337"/>
      <c r="G59" s="337"/>
      <c r="H59" s="337"/>
      <c r="I59" s="337"/>
      <c r="J59" s="337"/>
      <c r="K59" s="337"/>
      <c r="L59" s="338"/>
    </row>
    <row r="60" spans="3:12" ht="13.5">
      <c r="C60" s="260" t="s">
        <v>304</v>
      </c>
      <c r="D60" s="192"/>
      <c r="E60" s="261"/>
      <c r="F60" s="262">
        <f>E51+E57</f>
        <v>12.149056436545404</v>
      </c>
      <c r="G60" s="258" t="s">
        <v>308</v>
      </c>
      <c r="H60" s="258"/>
      <c r="I60" s="258"/>
      <c r="J60" s="258"/>
      <c r="K60" s="258"/>
      <c r="L60" s="259"/>
    </row>
    <row r="61" spans="3:12" ht="14.25" thickBot="1">
      <c r="C61" s="263" t="s">
        <v>305</v>
      </c>
      <c r="D61" s="264"/>
      <c r="E61" s="265"/>
      <c r="F61" s="266">
        <f>F51+F57</f>
        <v>24.252316653967945</v>
      </c>
      <c r="G61" s="256" t="s">
        <v>308</v>
      </c>
      <c r="H61" s="256"/>
      <c r="I61" s="256"/>
      <c r="J61" s="256"/>
      <c r="K61" s="256"/>
      <c r="L61" s="257"/>
    </row>
    <row r="62" ht="13.5">
      <c r="C62" s="5"/>
    </row>
    <row r="63" ht="13.5">
      <c r="B63" s="4" t="s">
        <v>302</v>
      </c>
    </row>
    <row r="64" ht="3" customHeight="1" thickBot="1">
      <c r="B64" s="4"/>
    </row>
    <row r="65" spans="3:12" ht="13.5">
      <c r="C65" s="267" t="s">
        <v>144</v>
      </c>
      <c r="D65" s="268"/>
      <c r="E65" s="268"/>
      <c r="F65" s="269"/>
      <c r="G65" s="17" t="str">
        <f aca="true" t="shared" si="1" ref="G65:L65">G18</f>
        <v>2011-16</v>
      </c>
      <c r="H65" s="17" t="str">
        <f t="shared" si="1"/>
        <v>2016-21</v>
      </c>
      <c r="I65" s="17" t="str">
        <f t="shared" si="1"/>
        <v>2021-26</v>
      </c>
      <c r="J65" s="17" t="str">
        <f t="shared" si="1"/>
        <v>2026-31</v>
      </c>
      <c r="K65" s="17" t="str">
        <f t="shared" si="1"/>
        <v>2031-36</v>
      </c>
      <c r="L65" s="18" t="str">
        <f t="shared" si="1"/>
        <v>2036-41</v>
      </c>
    </row>
    <row r="66" spans="3:12" ht="13.5">
      <c r="C66" s="270" t="str">
        <f>Equipments!B64</f>
        <v>For Sweeping &amp; Drain Cleaning</v>
      </c>
      <c r="D66" s="271"/>
      <c r="E66" s="271"/>
      <c r="F66" s="272"/>
      <c r="G66" s="48">
        <f>Equipments!C64</f>
        <v>356</v>
      </c>
      <c r="H66" s="48">
        <f>Equipments!D64</f>
        <v>362</v>
      </c>
      <c r="I66" s="48">
        <f>Equipments!E64</f>
        <v>369</v>
      </c>
      <c r="J66" s="48">
        <f>Equipments!F64</f>
        <v>378</v>
      </c>
      <c r="K66" s="48">
        <f>Equipments!G64</f>
        <v>389</v>
      </c>
      <c r="L66" s="49">
        <f>Equipments!H64</f>
        <v>401</v>
      </c>
    </row>
    <row r="67" spans="3:12" ht="13.5">
      <c r="C67" s="270" t="str">
        <f>Equipments!B65</f>
        <v>For D-2-D collection (Auto Tipper)</v>
      </c>
      <c r="D67" s="271"/>
      <c r="E67" s="271"/>
      <c r="F67" s="272"/>
      <c r="G67" s="48">
        <f>Equipments!C65</f>
        <v>28</v>
      </c>
      <c r="H67" s="48">
        <f>Equipments!D65</f>
        <v>33</v>
      </c>
      <c r="I67" s="48">
        <f>Equipments!E65</f>
        <v>38</v>
      </c>
      <c r="J67" s="48">
        <f>Equipments!F65</f>
        <v>45</v>
      </c>
      <c r="K67" s="48">
        <f>Equipments!G65</f>
        <v>53</v>
      </c>
      <c r="L67" s="49">
        <f>Equipments!H65</f>
        <v>62</v>
      </c>
    </row>
    <row r="68" spans="3:12" ht="13.5">
      <c r="C68" s="270" t="str">
        <f>Equipments!B66</f>
        <v>For D-2-D collection (Push Carts)</v>
      </c>
      <c r="D68" s="271"/>
      <c r="E68" s="271"/>
      <c r="F68" s="272"/>
      <c r="G68" s="48">
        <f>Equipments!C66</f>
        <v>231</v>
      </c>
      <c r="H68" s="48">
        <f>Equipments!D66</f>
        <v>271</v>
      </c>
      <c r="I68" s="48">
        <f>Equipments!E66</f>
        <v>318</v>
      </c>
      <c r="J68" s="48">
        <f>Equipments!F66</f>
        <v>373</v>
      </c>
      <c r="K68" s="48">
        <f>Equipments!G66</f>
        <v>438</v>
      </c>
      <c r="L68" s="49">
        <f>Equipments!H66</f>
        <v>514</v>
      </c>
    </row>
    <row r="69" spans="3:12" ht="14.25" thickBot="1">
      <c r="C69" s="273" t="s">
        <v>292</v>
      </c>
      <c r="D69" s="274"/>
      <c r="E69" s="274"/>
      <c r="F69" s="275"/>
      <c r="G69" s="50">
        <f aca="true" t="shared" si="2" ref="G69:L69">SUM(G66:G68)</f>
        <v>615</v>
      </c>
      <c r="H69" s="50">
        <f t="shared" si="2"/>
        <v>666</v>
      </c>
      <c r="I69" s="50">
        <f t="shared" si="2"/>
        <v>725</v>
      </c>
      <c r="J69" s="50">
        <f t="shared" si="2"/>
        <v>796</v>
      </c>
      <c r="K69" s="50">
        <f t="shared" si="2"/>
        <v>880</v>
      </c>
      <c r="L69" s="51">
        <f t="shared" si="2"/>
        <v>977</v>
      </c>
    </row>
    <row r="71" ht="13.5">
      <c r="B71" s="4" t="s">
        <v>303</v>
      </c>
    </row>
    <row r="72" ht="2.25" customHeight="1" thickBot="1"/>
    <row r="73" spans="3:12" ht="13.5">
      <c r="C73" s="211" t="s">
        <v>144</v>
      </c>
      <c r="D73" s="212"/>
      <c r="E73" s="212"/>
      <c r="F73" s="213" t="s">
        <v>293</v>
      </c>
      <c r="G73" s="214" t="str">
        <f aca="true" t="shared" si="3" ref="G73:L73">G18</f>
        <v>2011-16</v>
      </c>
      <c r="H73" s="214" t="str">
        <f t="shared" si="3"/>
        <v>2016-21</v>
      </c>
      <c r="I73" s="214" t="str">
        <f t="shared" si="3"/>
        <v>2021-26</v>
      </c>
      <c r="J73" s="214" t="str">
        <f t="shared" si="3"/>
        <v>2026-31</v>
      </c>
      <c r="K73" s="214" t="str">
        <f t="shared" si="3"/>
        <v>2031-36</v>
      </c>
      <c r="L73" s="233" t="str">
        <f t="shared" si="3"/>
        <v>2036-41</v>
      </c>
    </row>
    <row r="74" spans="3:12" ht="13.5">
      <c r="C74" s="234"/>
      <c r="D74" s="235"/>
      <c r="E74" s="235"/>
      <c r="F74" s="235"/>
      <c r="G74" s="236"/>
      <c r="H74" s="237"/>
      <c r="I74" s="237"/>
      <c r="J74" s="237" t="s">
        <v>214</v>
      </c>
      <c r="K74" s="237"/>
      <c r="L74" s="238"/>
    </row>
    <row r="75" spans="3:12" ht="13.5">
      <c r="C75" s="215" t="s">
        <v>209</v>
      </c>
      <c r="D75" s="210"/>
      <c r="E75" s="210"/>
      <c r="F75" s="210"/>
      <c r="G75" s="210"/>
      <c r="H75" s="210"/>
      <c r="I75" s="210"/>
      <c r="J75" s="210"/>
      <c r="K75" s="210"/>
      <c r="L75" s="229"/>
    </row>
    <row r="76" spans="3:12" ht="13.5">
      <c r="C76" s="46" t="str">
        <f>C19</f>
        <v>Containerized Push Carts for D2D Collection</v>
      </c>
      <c r="D76" s="47"/>
      <c r="E76" s="47"/>
      <c r="F76" s="216">
        <f>SUM(G76:L76)</f>
        <v>201.7</v>
      </c>
      <c r="G76" s="52">
        <f>G21*'INPUT DATA'!$K$26/10^5</f>
        <v>21.7</v>
      </c>
      <c r="H76" s="52">
        <f>H21*'INPUT DATA'!$K$26/10^5</f>
        <v>25.5</v>
      </c>
      <c r="I76" s="52">
        <f>I21*'INPUT DATA'!$K$26/10^5</f>
        <v>29.9</v>
      </c>
      <c r="J76" s="52">
        <f>J21*'INPUT DATA'!$K$26/10^5</f>
        <v>35.1</v>
      </c>
      <c r="K76" s="52">
        <f>K21*'INPUT DATA'!$K$26/10^5</f>
        <v>41.2</v>
      </c>
      <c r="L76" s="53">
        <f>L21*'INPUT DATA'!$K$26/10^5</f>
        <v>48.3</v>
      </c>
    </row>
    <row r="77" spans="3:12" ht="13.5">
      <c r="C77" s="46" t="str">
        <f>C22</f>
        <v>Auto Tippers for D2D Collection</v>
      </c>
      <c r="D77" s="47"/>
      <c r="E77" s="47"/>
      <c r="F77" s="216">
        <f aca="true" t="shared" si="4" ref="F77:F82">SUM(G77:L77)</f>
        <v>105</v>
      </c>
      <c r="G77" s="52">
        <f>G24*'INPUT DATA'!$K$25/10^5</f>
        <v>30</v>
      </c>
      <c r="H77" s="52">
        <f>H24*'INPUT DATA'!$K$25/10^5</f>
        <v>5</v>
      </c>
      <c r="I77" s="52">
        <f>I24*'INPUT DATA'!$K$25/10^5</f>
        <v>5</v>
      </c>
      <c r="J77" s="52">
        <f>J24*'INPUT DATA'!$K$25/10^5</f>
        <v>37.5</v>
      </c>
      <c r="K77" s="52">
        <f>K24*'INPUT DATA'!$K$25/10^5</f>
        <v>12.5</v>
      </c>
      <c r="L77" s="53">
        <f>L24*'INPUT DATA'!$K$25/10^5</f>
        <v>15</v>
      </c>
    </row>
    <row r="78" spans="3:12" ht="13.5">
      <c r="C78" s="46" t="str">
        <f>C25</f>
        <v>Push Carts for Street sweeping</v>
      </c>
      <c r="D78" s="47"/>
      <c r="E78" s="47"/>
      <c r="F78" s="216">
        <f t="shared" si="4"/>
        <v>240.89999999999998</v>
      </c>
      <c r="G78" s="52">
        <f>G27*'INPUT DATA'!$K$26/10^5</f>
        <v>38</v>
      </c>
      <c r="H78" s="52">
        <f>H27*'INPUT DATA'!$K$26/10^5</f>
        <v>38.7</v>
      </c>
      <c r="I78" s="52">
        <f>I27*'INPUT DATA'!$K$26/10^5</f>
        <v>39.5</v>
      </c>
      <c r="J78" s="52">
        <f>J27*'INPUT DATA'!$K$26/10^5</f>
        <v>40.4</v>
      </c>
      <c r="K78" s="52">
        <f>K27*'INPUT DATA'!$K$26/10^5</f>
        <v>41.5</v>
      </c>
      <c r="L78" s="53">
        <f>L27*'INPUT DATA'!$K$26/10^5</f>
        <v>42.8</v>
      </c>
    </row>
    <row r="79" spans="3:12" ht="13.5">
      <c r="C79" s="46" t="str">
        <f>C28</f>
        <v>Litter Bins</v>
      </c>
      <c r="D79" s="47"/>
      <c r="E79" s="47"/>
      <c r="F79" s="216">
        <f t="shared" si="4"/>
        <v>198.39999999999998</v>
      </c>
      <c r="G79" s="52">
        <f>G30*'INPUT DATA'!$K$27/10^5</f>
        <v>31.25</v>
      </c>
      <c r="H79" s="52">
        <f>H30*'INPUT DATA'!$K$27/10^5</f>
        <v>31.85</v>
      </c>
      <c r="I79" s="52">
        <f>I30*'INPUT DATA'!$K$27/10^5</f>
        <v>32.5</v>
      </c>
      <c r="J79" s="52">
        <f>J30*'INPUT DATA'!$K$27/10^5</f>
        <v>33.3</v>
      </c>
      <c r="K79" s="52">
        <f>K30*'INPUT DATA'!$K$27/10^5</f>
        <v>34.2</v>
      </c>
      <c r="L79" s="53">
        <f>L30*'INPUT DATA'!$K$27/10^5</f>
        <v>35.3</v>
      </c>
    </row>
    <row r="80" spans="3:12" ht="13.5">
      <c r="C80" s="46" t="str">
        <f>C31</f>
        <v>Closed Containers (3 m3 capacity)</v>
      </c>
      <c r="D80" s="47"/>
      <c r="E80" s="47"/>
      <c r="F80" s="216">
        <f t="shared" si="4"/>
        <v>196</v>
      </c>
      <c r="G80" s="52">
        <f>G33*'INPUT DATA'!$K$28/10^5</f>
        <v>30.5</v>
      </c>
      <c r="H80" s="52">
        <f>H33*'INPUT DATA'!$K$28/10^5</f>
        <v>8</v>
      </c>
      <c r="I80" s="52">
        <f>I33*'INPUT DATA'!$K$28/10^5</f>
        <v>40.5</v>
      </c>
      <c r="J80" s="52">
        <f>J33*'INPUT DATA'!$K$28/10^5</f>
        <v>20.5</v>
      </c>
      <c r="K80" s="52">
        <f>K33*'INPUT DATA'!$K$28/10^5</f>
        <v>56</v>
      </c>
      <c r="L80" s="53">
        <f>L33*'INPUT DATA'!$K$28/10^5</f>
        <v>40.5</v>
      </c>
    </row>
    <row r="81" spans="3:12" ht="13.5">
      <c r="C81" s="46" t="str">
        <f>C34</f>
        <v>Dumper Placers (twin containers of 3 m3)</v>
      </c>
      <c r="D81" s="47"/>
      <c r="E81" s="47"/>
      <c r="F81" s="216">
        <f t="shared" si="4"/>
        <v>120</v>
      </c>
      <c r="G81" s="52">
        <f>G36*'INPUT DATA'!$K$29/10^5</f>
        <v>24</v>
      </c>
      <c r="H81" s="52">
        <f>H36*'INPUT DATA'!$K$29/10^5</f>
        <v>6</v>
      </c>
      <c r="I81" s="52">
        <f>I36*'INPUT DATA'!$K$29/10^5</f>
        <v>12</v>
      </c>
      <c r="J81" s="52">
        <f>J36*'INPUT DATA'!$K$29/10^5</f>
        <v>30</v>
      </c>
      <c r="K81" s="52">
        <f>K36*'INPUT DATA'!$K$29/10^5</f>
        <v>18</v>
      </c>
      <c r="L81" s="53">
        <f>L36*'INPUT DATA'!$K$29/10^5</f>
        <v>30</v>
      </c>
    </row>
    <row r="82" spans="3:12" ht="13.5">
      <c r="C82" s="46" t="str">
        <f>C37</f>
        <v>Closed Containers (4.5 m3 capacity)</v>
      </c>
      <c r="D82" s="47"/>
      <c r="E82" s="47"/>
      <c r="F82" s="216">
        <f t="shared" si="4"/>
        <v>254.79999999999998</v>
      </c>
      <c r="G82" s="52">
        <f>G39*'INPUT DATA'!$K$30/10^5</f>
        <v>39.65</v>
      </c>
      <c r="H82" s="52">
        <f>H39*'INPUT DATA'!$K$30/10^5</f>
        <v>10.4</v>
      </c>
      <c r="I82" s="52">
        <f>I39*'INPUT DATA'!$K$30/10^5</f>
        <v>52.65</v>
      </c>
      <c r="J82" s="52">
        <f>J39*'INPUT DATA'!$K$30/10^5</f>
        <v>26.65</v>
      </c>
      <c r="K82" s="52">
        <f>K39*'INPUT DATA'!$K$30/10^5</f>
        <v>72.8</v>
      </c>
      <c r="L82" s="53">
        <f>L39*'INPUT DATA'!$K$30/10^5</f>
        <v>52.65</v>
      </c>
    </row>
    <row r="83" spans="3:12" ht="13.5">
      <c r="C83" s="46" t="str">
        <f>C40</f>
        <v>Dumper Placers (twin containers of 4.5 m3)</v>
      </c>
      <c r="D83" s="47"/>
      <c r="E83" s="47"/>
      <c r="F83" s="216">
        <f>SUM(G83:L83)</f>
        <v>180</v>
      </c>
      <c r="G83" s="52">
        <f>G42*'INPUT DATA'!$K$31/10^5</f>
        <v>36</v>
      </c>
      <c r="H83" s="52">
        <f>H42*'INPUT DATA'!$K$31/10^5</f>
        <v>9</v>
      </c>
      <c r="I83" s="52">
        <f>I42*'INPUT DATA'!$K$31/10^5</f>
        <v>18</v>
      </c>
      <c r="J83" s="52">
        <f>J42*'INPUT DATA'!$K$31/10^5</f>
        <v>45</v>
      </c>
      <c r="K83" s="52">
        <f>K42*'INPUT DATA'!$K$31/10^5</f>
        <v>27</v>
      </c>
      <c r="L83" s="53">
        <f>L42*'INPUT DATA'!$K$31/10^5</f>
        <v>45</v>
      </c>
    </row>
    <row r="84" spans="3:13" ht="13.5">
      <c r="C84" s="217" t="s">
        <v>296</v>
      </c>
      <c r="D84" s="218"/>
      <c r="E84" s="218"/>
      <c r="F84" s="219">
        <f>SUM(G84:L84)</f>
        <v>1496.8</v>
      </c>
      <c r="G84" s="220">
        <f aca="true" t="shared" si="5" ref="G84:L84">SUM(G76:G83)</f>
        <v>251.1</v>
      </c>
      <c r="H84" s="220">
        <f t="shared" si="5"/>
        <v>134.45000000000002</v>
      </c>
      <c r="I84" s="220">
        <f t="shared" si="5"/>
        <v>230.05</v>
      </c>
      <c r="J84" s="220">
        <f t="shared" si="5"/>
        <v>268.45000000000005</v>
      </c>
      <c r="K84" s="220">
        <f t="shared" si="5"/>
        <v>303.2</v>
      </c>
      <c r="L84" s="230">
        <f t="shared" si="5"/>
        <v>309.54999999999995</v>
      </c>
      <c r="M84" s="54"/>
    </row>
    <row r="85" spans="3:12" ht="13.5">
      <c r="C85" s="221" t="s">
        <v>171</v>
      </c>
      <c r="D85" s="192"/>
      <c r="E85" s="192"/>
      <c r="F85" s="56"/>
      <c r="G85" s="56"/>
      <c r="H85" s="56"/>
      <c r="I85" s="56"/>
      <c r="J85" s="56"/>
      <c r="K85" s="56"/>
      <c r="L85" s="57"/>
    </row>
    <row r="86" spans="3:12" ht="13.5">
      <c r="C86" s="222" t="s">
        <v>222</v>
      </c>
      <c r="D86" s="223"/>
      <c r="E86" s="223"/>
      <c r="F86" s="208"/>
      <c r="G86" s="208"/>
      <c r="H86" s="208"/>
      <c r="I86" s="208"/>
      <c r="J86" s="208"/>
      <c r="K86" s="208"/>
      <c r="L86" s="209"/>
    </row>
    <row r="87" spans="3:13" ht="13.5">
      <c r="C87" s="46" t="str">
        <f>'Compost &amp; Landfil'!B60</f>
        <v>Backhoe Loader</v>
      </c>
      <c r="D87" s="47"/>
      <c r="E87" s="47"/>
      <c r="F87" s="216">
        <f>SUM(G87:L87)</f>
        <v>40</v>
      </c>
      <c r="G87" s="52">
        <f>'Compost &amp; Landfil'!C60*'INPUT DATA'!K32/10^5</f>
        <v>20</v>
      </c>
      <c r="H87" s="52"/>
      <c r="I87" s="52"/>
      <c r="J87" s="52"/>
      <c r="K87" s="52">
        <f>'Compost &amp; Landfil'!D60*'INPUT DATA'!K32/10^5</f>
        <v>20</v>
      </c>
      <c r="L87" s="53"/>
      <c r="M87" s="54"/>
    </row>
    <row r="88" spans="3:13" ht="13.5">
      <c r="C88" s="46" t="str">
        <f>'Compost &amp; Landfil'!B61</f>
        <v>Bull Dozer</v>
      </c>
      <c r="D88" s="47"/>
      <c r="E88" s="47"/>
      <c r="F88" s="216">
        <f>SUM(G88:L88)</f>
        <v>120</v>
      </c>
      <c r="G88" s="52">
        <f>'Compost &amp; Landfil'!C61*'INPUT DATA'!N24/10^5</f>
        <v>60</v>
      </c>
      <c r="H88" s="52"/>
      <c r="I88" s="52"/>
      <c r="J88" s="52"/>
      <c r="K88" s="52">
        <f>'Compost &amp; Landfil'!D61*'INPUT DATA'!N24/10^5</f>
        <v>60</v>
      </c>
      <c r="L88" s="53"/>
      <c r="M88" s="54"/>
    </row>
    <row r="89" spans="3:13" ht="13.5">
      <c r="C89" s="224" t="s">
        <v>218</v>
      </c>
      <c r="D89" s="225"/>
      <c r="E89" s="225"/>
      <c r="F89" s="216">
        <f>SUM(G89:L89)</f>
        <v>160</v>
      </c>
      <c r="G89" s="55">
        <f>SUM(G87:G88)</f>
        <v>80</v>
      </c>
      <c r="H89" s="55">
        <f>SUM(H87:H88)</f>
        <v>0</v>
      </c>
      <c r="I89" s="55">
        <f>SUM(I87:I88)</f>
        <v>0</v>
      </c>
      <c r="J89" s="55">
        <f>SUM(J87:J88)</f>
        <v>0</v>
      </c>
      <c r="K89" s="55">
        <f>SUM(K87:K88)</f>
        <v>80</v>
      </c>
      <c r="L89" s="53"/>
      <c r="M89" s="54"/>
    </row>
    <row r="90" spans="3:12" ht="13.5">
      <c r="C90" s="222" t="s">
        <v>223</v>
      </c>
      <c r="D90" s="223"/>
      <c r="E90" s="223"/>
      <c r="F90" s="208"/>
      <c r="G90" s="208"/>
      <c r="H90" s="208"/>
      <c r="I90" s="208"/>
      <c r="J90" s="208"/>
      <c r="K90" s="208"/>
      <c r="L90" s="209"/>
    </row>
    <row r="91" spans="3:15" ht="13.5">
      <c r="C91" s="46" t="s">
        <v>215</v>
      </c>
      <c r="D91" s="47"/>
      <c r="E91" s="47"/>
      <c r="F91" s="216">
        <f>SUM(G91:L91)</f>
        <v>1240.9054010414511</v>
      </c>
      <c r="G91" s="52">
        <f>G58*'INPUT DATA'!$N$31/10^5</f>
        <v>99.82091346428884</v>
      </c>
      <c r="H91" s="52">
        <f>H58*'INPUT DATA'!$N$31/10^5</f>
        <v>125.69035865696874</v>
      </c>
      <c r="I91" s="52">
        <f>I58*'INPUT DATA'!$N$31/10^5</f>
        <v>158.26409227330123</v>
      </c>
      <c r="J91" s="52">
        <f>J58*'INPUT DATA'!$N$31/10^5</f>
        <v>199.2795881142414</v>
      </c>
      <c r="K91" s="52">
        <f>K58*'INPUT DATA'!$N$31/10^5</f>
        <v>286.1506969905055</v>
      </c>
      <c r="L91" s="53">
        <f>L58*'INPUT DATA'!$N$31/10^5</f>
        <v>371.69975154214546</v>
      </c>
      <c r="N91" s="173"/>
      <c r="O91" s="173"/>
    </row>
    <row r="92" spans="3:15" ht="13.5">
      <c r="C92" s="46" t="str">
        <f>'Compost &amp; Landfil'!B73</f>
        <v>Other infrastructure (roads, drains, fencing, building, etc</v>
      </c>
      <c r="D92" s="47"/>
      <c r="E92" s="47"/>
      <c r="F92" s="216">
        <f>SUM(G92:L92)</f>
        <v>135.72402823890872</v>
      </c>
      <c r="G92" s="52">
        <f>('Compost &amp; Landfil'!C55*10^4-OUTPUT!E58)*'INPUT DATA'!N32/10^5</f>
        <v>63.77163543065002</v>
      </c>
      <c r="H92" s="52"/>
      <c r="I92" s="52"/>
      <c r="J92" s="52"/>
      <c r="K92" s="52">
        <f>((('Compost &amp; Landfil'!D55-'Compost &amp; Landfil'!C55)*10^4-(OUTPUT!F58-OUTPUT!E58))*'INPUT DATA'!N32/10^5)</f>
        <v>71.95239280825871</v>
      </c>
      <c r="L92" s="58"/>
      <c r="N92" s="173"/>
      <c r="O92" s="173"/>
    </row>
    <row r="93" spans="3:14" ht="13.5">
      <c r="C93" s="224" t="s">
        <v>218</v>
      </c>
      <c r="D93" s="225"/>
      <c r="E93" s="225"/>
      <c r="F93" s="216">
        <f>SUM(G93:L93)</f>
        <v>1376.62942928036</v>
      </c>
      <c r="G93" s="55">
        <f aca="true" t="shared" si="6" ref="G93:L93">SUM(G91:G92)</f>
        <v>163.59254889493886</v>
      </c>
      <c r="H93" s="55">
        <f t="shared" si="6"/>
        <v>125.69035865696874</v>
      </c>
      <c r="I93" s="55">
        <f t="shared" si="6"/>
        <v>158.26409227330123</v>
      </c>
      <c r="J93" s="55">
        <f t="shared" si="6"/>
        <v>199.2795881142414</v>
      </c>
      <c r="K93" s="55">
        <f t="shared" si="6"/>
        <v>358.1030897987642</v>
      </c>
      <c r="L93" s="58">
        <f t="shared" si="6"/>
        <v>371.69975154214546</v>
      </c>
      <c r="N93" s="173"/>
    </row>
    <row r="94" spans="3:15" ht="13.5">
      <c r="C94" s="217" t="s">
        <v>224</v>
      </c>
      <c r="D94" s="218"/>
      <c r="E94" s="218"/>
      <c r="F94" s="220">
        <f>SUM(G94:L94)</f>
        <v>1536.62942928036</v>
      </c>
      <c r="G94" s="220">
        <f aca="true" t="shared" si="7" ref="G94:L94">G93+G89</f>
        <v>243.59254889493886</v>
      </c>
      <c r="H94" s="220">
        <f t="shared" si="7"/>
        <v>125.69035865696874</v>
      </c>
      <c r="I94" s="220">
        <f t="shared" si="7"/>
        <v>158.26409227330123</v>
      </c>
      <c r="J94" s="220">
        <f t="shared" si="7"/>
        <v>199.2795881142414</v>
      </c>
      <c r="K94" s="220">
        <f t="shared" si="7"/>
        <v>438.1030897987642</v>
      </c>
      <c r="L94" s="230">
        <f t="shared" si="7"/>
        <v>371.69975154214546</v>
      </c>
      <c r="N94" s="54"/>
      <c r="O94" s="173"/>
    </row>
    <row r="95" spans="3:15" ht="13.5">
      <c r="C95" s="221" t="s">
        <v>169</v>
      </c>
      <c r="D95" s="192"/>
      <c r="E95" s="192"/>
      <c r="F95" s="192"/>
      <c r="G95" s="192"/>
      <c r="H95" s="192"/>
      <c r="I95" s="192"/>
      <c r="J95" s="192"/>
      <c r="K95" s="192"/>
      <c r="L95" s="60"/>
      <c r="O95" s="54"/>
    </row>
    <row r="96" spans="3:12" ht="13.5">
      <c r="C96" s="222" t="s">
        <v>222</v>
      </c>
      <c r="D96" s="223"/>
      <c r="E96" s="223"/>
      <c r="F96" s="223"/>
      <c r="G96" s="223"/>
      <c r="H96" s="223"/>
      <c r="I96" s="223"/>
      <c r="J96" s="223"/>
      <c r="K96" s="223"/>
      <c r="L96" s="207"/>
    </row>
    <row r="97" spans="3:12" ht="13.5">
      <c r="C97" s="46" t="str">
        <f>'Compost &amp; Landfil'!B29</f>
        <v>Backhoe Loader</v>
      </c>
      <c r="D97" s="47"/>
      <c r="E97" s="47"/>
      <c r="F97" s="216">
        <f aca="true" t="shared" si="8" ref="F97:F103">SUM(G97:L97)</f>
        <v>40</v>
      </c>
      <c r="G97" s="52">
        <f>('Compost &amp; Landfil'!C29*'INPUT DATA'!$K$32)/10^5</f>
        <v>20</v>
      </c>
      <c r="H97" s="47"/>
      <c r="I97" s="47"/>
      <c r="J97" s="47"/>
      <c r="K97" s="52">
        <f>('Compost &amp; Landfil'!D29*'INPUT DATA'!$K$32)/10^5</f>
        <v>20</v>
      </c>
      <c r="L97" s="61"/>
    </row>
    <row r="98" spans="3:12" ht="13.5">
      <c r="C98" s="46" t="str">
        <f>'Compost &amp; Landfil'!B30</f>
        <v>Tipper Truck</v>
      </c>
      <c r="D98" s="47"/>
      <c r="E98" s="47"/>
      <c r="F98" s="216">
        <f t="shared" si="8"/>
        <v>48</v>
      </c>
      <c r="G98" s="52">
        <f>('Compost &amp; Landfil'!C30*'INPUT DATA'!N25)/10^5</f>
        <v>24</v>
      </c>
      <c r="H98" s="47"/>
      <c r="I98" s="47"/>
      <c r="J98" s="47"/>
      <c r="K98" s="52">
        <f>('Compost &amp; Landfil'!D30*'INPUT DATA'!N25)/10^5</f>
        <v>24</v>
      </c>
      <c r="L98" s="61"/>
    </row>
    <row r="99" spans="3:12" ht="13.5">
      <c r="C99" s="46" t="str">
        <f>'Compost &amp; Landfil'!B31</f>
        <v>Tipper Tractor </v>
      </c>
      <c r="D99" s="47"/>
      <c r="E99" s="47"/>
      <c r="F99" s="216">
        <f t="shared" si="8"/>
        <v>16</v>
      </c>
      <c r="G99" s="52">
        <f>('Compost &amp; Landfil'!C31*'INPUT DATA'!N26)/10^5</f>
        <v>16</v>
      </c>
      <c r="H99" s="47"/>
      <c r="I99" s="47"/>
      <c r="J99" s="47"/>
      <c r="K99" s="52"/>
      <c r="L99" s="61"/>
    </row>
    <row r="100" spans="3:12" ht="13.5">
      <c r="C100" s="46" t="str">
        <f>'Compost &amp; Landfil'!B32</f>
        <v>Water Tanker (3000 lt)</v>
      </c>
      <c r="D100" s="47"/>
      <c r="E100" s="47"/>
      <c r="F100" s="216">
        <f t="shared" si="8"/>
        <v>6</v>
      </c>
      <c r="G100" s="52">
        <f>('Compost &amp; Landfil'!C32*'INPUT DATA'!N27)/10^5</f>
        <v>3</v>
      </c>
      <c r="H100" s="47"/>
      <c r="I100" s="47"/>
      <c r="J100" s="47"/>
      <c r="K100" s="52">
        <f>('Compost &amp; Landfil'!D32*'INPUT DATA'!N27)/10^5</f>
        <v>3</v>
      </c>
      <c r="L100" s="61"/>
    </row>
    <row r="101" spans="3:12" ht="13.5">
      <c r="C101" s="46" t="str">
        <f>'Compost &amp; Landfil'!B33</f>
        <v>Weight Bridge (20 MT)</v>
      </c>
      <c r="D101" s="47"/>
      <c r="E101" s="47"/>
      <c r="F101" s="216">
        <f t="shared" si="8"/>
        <v>20</v>
      </c>
      <c r="G101" s="52">
        <f>('Compost &amp; Landfil'!C33*'INPUT DATA'!N28)/10^5</f>
        <v>10</v>
      </c>
      <c r="H101" s="47"/>
      <c r="I101" s="47"/>
      <c r="J101" s="47"/>
      <c r="K101" s="52">
        <f>('Compost &amp; Landfil'!D33*'INPUT DATA'!N28)/10^5</f>
        <v>10</v>
      </c>
      <c r="L101" s="61"/>
    </row>
    <row r="102" spans="3:12" ht="13.5">
      <c r="C102" s="46" t="str">
        <f>'Compost &amp; Landfil'!B34</f>
        <v>Plant &amp; Machinery</v>
      </c>
      <c r="D102" s="47"/>
      <c r="E102" s="47"/>
      <c r="F102" s="216">
        <f t="shared" si="8"/>
        <v>200</v>
      </c>
      <c r="G102" s="52">
        <f>('Compost &amp; Landfil'!C34*'INPUT DATA'!N29)/10^5</f>
        <v>100</v>
      </c>
      <c r="H102" s="47"/>
      <c r="I102" s="47"/>
      <c r="J102" s="47"/>
      <c r="K102" s="52">
        <f>('Compost &amp; Landfil'!D34*'INPUT DATA'!N29)/10^5</f>
        <v>100</v>
      </c>
      <c r="L102" s="61"/>
    </row>
    <row r="103" spans="3:12" ht="13.5">
      <c r="C103" s="224" t="s">
        <v>218</v>
      </c>
      <c r="D103" s="225"/>
      <c r="E103" s="225"/>
      <c r="F103" s="216">
        <f t="shared" si="8"/>
        <v>330</v>
      </c>
      <c r="G103" s="55">
        <f>SUM(G97:G102)</f>
        <v>173</v>
      </c>
      <c r="H103" s="55">
        <f>SUM(H97:H102)</f>
        <v>0</v>
      </c>
      <c r="I103" s="55">
        <f>SUM(I97:I102)</f>
        <v>0</v>
      </c>
      <c r="J103" s="55">
        <f>SUM(J97:J102)</f>
        <v>0</v>
      </c>
      <c r="K103" s="55">
        <f>SUM(K97:K102)</f>
        <v>157</v>
      </c>
      <c r="L103" s="61"/>
    </row>
    <row r="104" spans="3:12" ht="13.5">
      <c r="C104" s="222" t="s">
        <v>223</v>
      </c>
      <c r="D104" s="223"/>
      <c r="E104" s="223"/>
      <c r="F104" s="208"/>
      <c r="G104" s="208"/>
      <c r="H104" s="208"/>
      <c r="I104" s="208"/>
      <c r="J104" s="208"/>
      <c r="K104" s="208"/>
      <c r="L104" s="206"/>
    </row>
    <row r="105" spans="3:12" ht="13.5">
      <c r="C105" s="46" t="str">
        <f>'Compost &amp; Landfil'!B38</f>
        <v>Interal roads, drains, tipping floor, office building, store, etc</v>
      </c>
      <c r="D105" s="47"/>
      <c r="E105" s="47"/>
      <c r="F105" s="216">
        <f>SUM(G105:L105)</f>
        <v>231.52499999999998</v>
      </c>
      <c r="G105" s="216">
        <f>E51*10^4*500/10^5</f>
        <v>146.475</v>
      </c>
      <c r="H105" s="47"/>
      <c r="I105" s="47"/>
      <c r="J105" s="47"/>
      <c r="K105" s="226">
        <f>(F51-E51)*10^4*500/10^5</f>
        <v>85.04999999999998</v>
      </c>
      <c r="L105" s="61"/>
    </row>
    <row r="106" spans="3:12" ht="13.5">
      <c r="C106" s="217" t="s">
        <v>225</v>
      </c>
      <c r="D106" s="218"/>
      <c r="E106" s="218"/>
      <c r="F106" s="219">
        <f>SUM(G106:L106)</f>
        <v>561.525</v>
      </c>
      <c r="G106" s="219">
        <f aca="true" t="shared" si="9" ref="G106:L106">G105+G103</f>
        <v>319.475</v>
      </c>
      <c r="H106" s="219">
        <f t="shared" si="9"/>
        <v>0</v>
      </c>
      <c r="I106" s="219">
        <f t="shared" si="9"/>
        <v>0</v>
      </c>
      <c r="J106" s="219">
        <f t="shared" si="9"/>
        <v>0</v>
      </c>
      <c r="K106" s="219">
        <f t="shared" si="9"/>
        <v>242.04999999999998</v>
      </c>
      <c r="L106" s="231">
        <f t="shared" si="9"/>
        <v>0</v>
      </c>
    </row>
    <row r="107" spans="3:12" ht="14.25" thickBot="1">
      <c r="C107" s="227" t="s">
        <v>219</v>
      </c>
      <c r="D107" s="228"/>
      <c r="E107" s="228"/>
      <c r="F107" s="62">
        <f>SUM(G107:L107)</f>
        <v>3594.9544292803603</v>
      </c>
      <c r="G107" s="62">
        <f aca="true" t="shared" si="10" ref="G107:L107">G106+G94+G84</f>
        <v>814.1675488949389</v>
      </c>
      <c r="H107" s="62">
        <f t="shared" si="10"/>
        <v>260.1403586569688</v>
      </c>
      <c r="I107" s="62">
        <f t="shared" si="10"/>
        <v>388.31409227330124</v>
      </c>
      <c r="J107" s="62">
        <f t="shared" si="10"/>
        <v>467.72958811424144</v>
      </c>
      <c r="K107" s="62">
        <f t="shared" si="10"/>
        <v>983.3530897987641</v>
      </c>
      <c r="L107" s="232">
        <f t="shared" si="10"/>
        <v>681.2497515421454</v>
      </c>
    </row>
  </sheetData>
  <sheetProtection password="CA9C" sheet="1"/>
  <mergeCells count="2">
    <mergeCell ref="E52:L52"/>
    <mergeCell ref="E59:L59"/>
  </mergeCells>
  <conditionalFormatting sqref="Q8">
    <cfRule type="expression" priority="2" dxfId="4" stopIfTrue="1">
      <formula>"""Y"""</formula>
    </cfRule>
    <cfRule type="expression" priority="3" dxfId="3" stopIfTrue="1">
      <formula>"""N"""</formula>
    </cfRule>
  </conditionalFormatting>
  <conditionalFormatting sqref="Q8">
    <cfRule type="containsText" priority="1" dxfId="0" operator="containsText" text="Y">
      <formula>NOT(ISERROR(SEARCH("Y",Q8)))</formula>
    </cfRule>
  </conditionalFormatting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61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8" customWidth="1"/>
    <col min="2" max="2" width="10.7109375" style="68" customWidth="1"/>
    <col min="3" max="3" width="11.8515625" style="68" customWidth="1"/>
    <col min="4" max="4" width="10.7109375" style="68" customWidth="1"/>
    <col min="5" max="5" width="10.8515625" style="68" customWidth="1"/>
    <col min="6" max="7" width="9.140625" style="68" customWidth="1"/>
    <col min="8" max="8" width="9.421875" style="68" bestFit="1" customWidth="1"/>
    <col min="9" max="16384" width="9.140625" style="68" customWidth="1"/>
  </cols>
  <sheetData>
    <row r="1" ht="13.5">
      <c r="A1" s="67" t="s">
        <v>0</v>
      </c>
    </row>
    <row r="3" spans="1:6" ht="33.75" customHeight="1">
      <c r="A3" s="68" t="s">
        <v>1</v>
      </c>
      <c r="B3" s="68" t="s">
        <v>2</v>
      </c>
      <c r="C3" s="69" t="s">
        <v>5</v>
      </c>
      <c r="D3" s="69" t="s">
        <v>6</v>
      </c>
      <c r="E3" s="68" t="s">
        <v>13</v>
      </c>
      <c r="F3" s="68" t="s">
        <v>14</v>
      </c>
    </row>
    <row r="4" spans="1:4" ht="13.5">
      <c r="A4" s="70">
        <v>1951</v>
      </c>
      <c r="B4" s="177">
        <f>'INPUT DATA'!D8</f>
        <v>54981</v>
      </c>
      <c r="C4" s="178"/>
      <c r="D4" s="178"/>
    </row>
    <row r="5" spans="1:6" ht="13.5">
      <c r="A5" s="70">
        <v>1961</v>
      </c>
      <c r="B5" s="177">
        <f>'INPUT DATA'!D9</f>
        <v>67026</v>
      </c>
      <c r="C5" s="179">
        <f>IF(B4=0,"-",((B5/B4)-1))</f>
        <v>0.21907568068969274</v>
      </c>
      <c r="D5" s="179">
        <f>IF(B4=0,"-",(((B5/B4)^(1/10))-1))</f>
        <v>0.0200067993274764</v>
      </c>
      <c r="F5" s="73"/>
    </row>
    <row r="6" spans="1:4" ht="13.5">
      <c r="A6" s="70">
        <v>1971</v>
      </c>
      <c r="B6" s="177">
        <f>'INPUT DATA'!D10</f>
        <v>87981</v>
      </c>
      <c r="C6" s="179">
        <f>IF(B5=0,"-",((B6/B5)-1))</f>
        <v>0.31263987109479907</v>
      </c>
      <c r="D6" s="179">
        <f>IF(B5=0,"-",(((B6/B5)^(1/10))-1))</f>
        <v>0.027577435767422998</v>
      </c>
    </row>
    <row r="7" spans="1:4" ht="13.5">
      <c r="A7" s="70">
        <v>1981</v>
      </c>
      <c r="B7" s="177">
        <f>'INPUT DATA'!D11</f>
        <v>137927</v>
      </c>
      <c r="C7" s="179">
        <f>IF(B6=0,"-",((B7/B6)-1))</f>
        <v>0.5676907514122367</v>
      </c>
      <c r="D7" s="179">
        <f>IF(B6=0,"-",(((B7/B6)^(1/10))-1))</f>
        <v>0.045986404304296125</v>
      </c>
    </row>
    <row r="8" spans="1:4" ht="13.5">
      <c r="A8" s="70">
        <v>1991</v>
      </c>
      <c r="B8" s="177">
        <f>'INPUT DATA'!D12</f>
        <v>191000</v>
      </c>
      <c r="C8" s="179">
        <f>IF(B7=0,"-",((B8/B7)-1))</f>
        <v>0.38479050512227486</v>
      </c>
      <c r="D8" s="179">
        <f>IF(B7=0,"-",(((B8/B7)^(1/10))-1))</f>
        <v>0.03309059466180009</v>
      </c>
    </row>
    <row r="9" spans="1:6" ht="13.5">
      <c r="A9" s="70">
        <v>2001</v>
      </c>
      <c r="B9" s="177">
        <f>'INPUT DATA'!D13</f>
        <v>268823</v>
      </c>
      <c r="C9" s="179">
        <f>((B9/B8)-1)</f>
        <v>0.4074502617801048</v>
      </c>
      <c r="D9" s="179">
        <f>IF(B8=0,"-",(((B9/B8)^(1/10))-1))</f>
        <v>0.03476875252520051</v>
      </c>
      <c r="E9" s="74">
        <f>B9/$F$9</f>
        <v>51000</v>
      </c>
      <c r="F9" s="75">
        <f>'INPUT DATA'!D13/'INPUT DATA'!E13</f>
        <v>5.271039215686274</v>
      </c>
    </row>
    <row r="10" spans="1:6" ht="13.5">
      <c r="A10" s="70">
        <v>2011</v>
      </c>
      <c r="B10" s="180">
        <f>B28</f>
        <v>370526.64806505054</v>
      </c>
      <c r="C10" s="181">
        <f>((B10/B9)-1)</f>
        <v>0.3783294140198217</v>
      </c>
      <c r="D10" s="181">
        <f>(((B10/B9)^(1/10))-1)</f>
        <v>0.032607565025992935</v>
      </c>
      <c r="E10" s="74">
        <f aca="true" t="shared" si="0" ref="E10:E16">B10/$F$9</f>
        <v>70294.80011501092</v>
      </c>
      <c r="F10" s="76">
        <f>B10/E10</f>
        <v>5.271039215686273</v>
      </c>
    </row>
    <row r="11" spans="1:6" ht="13.5">
      <c r="A11" s="70">
        <f>A10+5</f>
        <v>2016</v>
      </c>
      <c r="B11" s="180">
        <f>B10*((1+D12)^(A11-A10))</f>
        <v>435006.7137576616</v>
      </c>
      <c r="C11" s="181">
        <f>C12</f>
        <v>0.3783294140198217</v>
      </c>
      <c r="D11" s="181">
        <f>D12</f>
        <v>0.032607565025992935</v>
      </c>
      <c r="E11" s="74">
        <f t="shared" si="0"/>
        <v>82527.6944370115</v>
      </c>
      <c r="F11" s="76">
        <f aca="true" t="shared" si="1" ref="F11:F16">B11/E11</f>
        <v>5.271039215686274</v>
      </c>
    </row>
    <row r="12" spans="1:6" ht="13.5">
      <c r="A12" s="70">
        <v>2021</v>
      </c>
      <c r="B12" s="180">
        <f>B29</f>
        <v>510707.7777062298</v>
      </c>
      <c r="C12" s="181">
        <f>((B12/B10)-1)</f>
        <v>0.3783294140198217</v>
      </c>
      <c r="D12" s="181">
        <f>(((B12/B10)^(1/10))-1)</f>
        <v>0.032607565025992935</v>
      </c>
      <c r="E12" s="74">
        <f t="shared" si="0"/>
        <v>96889.39065116349</v>
      </c>
      <c r="F12" s="76">
        <f t="shared" si="1"/>
        <v>5.271039215686274</v>
      </c>
    </row>
    <row r="13" spans="1:6" ht="13.5">
      <c r="A13" s="70">
        <f>A12+5</f>
        <v>2026</v>
      </c>
      <c r="B13" s="180">
        <f>B12*((1+D14)^(A13-A12))</f>
        <v>599582.5488682861</v>
      </c>
      <c r="C13" s="181">
        <f>C14</f>
        <v>0.3783294140198217</v>
      </c>
      <c r="D13" s="181">
        <f>D14</f>
        <v>0.032607565025992935</v>
      </c>
      <c r="E13" s="74">
        <f t="shared" si="0"/>
        <v>113750.34871377297</v>
      </c>
      <c r="F13" s="76">
        <f t="shared" si="1"/>
        <v>5.271039215686274</v>
      </c>
    </row>
    <row r="14" spans="1:6" ht="13.5">
      <c r="A14" s="70">
        <v>2031</v>
      </c>
      <c r="B14" s="180">
        <f>B30</f>
        <v>703923.5519811931</v>
      </c>
      <c r="C14" s="181">
        <f>((B14/B12)-1)</f>
        <v>0.3783294140198217</v>
      </c>
      <c r="D14" s="181">
        <f>(((B14/B12)^(1/10))-1)</f>
        <v>0.032607565025992935</v>
      </c>
      <c r="E14" s="74">
        <f t="shared" si="0"/>
        <v>133545.49704095576</v>
      </c>
      <c r="F14" s="76">
        <f t="shared" si="1"/>
        <v>5.271039215686274</v>
      </c>
    </row>
    <row r="15" spans="1:6" ht="13.5">
      <c r="A15" s="70">
        <f>A14+5</f>
        <v>2036</v>
      </c>
      <c r="B15" s="180">
        <f>B14*((1+D16)^(A15-A14))</f>
        <v>826422.2632381358</v>
      </c>
      <c r="C15" s="181">
        <f>C16</f>
        <v>0.3783294140198217</v>
      </c>
      <c r="D15" s="181">
        <f>D16</f>
        <v>0.032607565025992935</v>
      </c>
      <c r="E15" s="74">
        <f t="shared" si="0"/>
        <v>156785.45148720508</v>
      </c>
      <c r="F15" s="76">
        <f t="shared" si="1"/>
        <v>5.271039215686274</v>
      </c>
    </row>
    <row r="16" spans="1:6" ht="13.5">
      <c r="A16" s="70">
        <v>2041</v>
      </c>
      <c r="B16" s="180">
        <f>B31</f>
        <v>970238.5369169894</v>
      </c>
      <c r="C16" s="181">
        <f>((B16/B14)-1)</f>
        <v>0.3783294140198217</v>
      </c>
      <c r="D16" s="181">
        <f>(((B16/B14)^(1/10))-1)</f>
        <v>0.032607565025992935</v>
      </c>
      <c r="E16" s="74">
        <f t="shared" si="0"/>
        <v>184069.6866814464</v>
      </c>
      <c r="F16" s="76">
        <f t="shared" si="1"/>
        <v>5.271039215686274</v>
      </c>
    </row>
    <row r="18" ht="13.5">
      <c r="A18" s="68" t="s">
        <v>3</v>
      </c>
    </row>
    <row r="19" spans="3:8" s="77" customFormat="1" ht="39.75" customHeight="1">
      <c r="C19" s="78" t="s">
        <v>146</v>
      </c>
      <c r="D19" s="78" t="s">
        <v>147</v>
      </c>
      <c r="E19" s="78" t="s">
        <v>148</v>
      </c>
      <c r="F19" s="78" t="s">
        <v>149</v>
      </c>
      <c r="G19" s="78" t="s">
        <v>150</v>
      </c>
      <c r="H19" s="78" t="s">
        <v>151</v>
      </c>
    </row>
    <row r="20" spans="1:2" ht="13.5" hidden="1">
      <c r="A20" s="68" t="s">
        <v>1</v>
      </c>
      <c r="B20" s="68" t="s">
        <v>2</v>
      </c>
    </row>
    <row r="21" spans="1:6" ht="13.5" hidden="1">
      <c r="A21" s="70">
        <f aca="true" t="shared" si="2" ref="A21:B26">A4</f>
        <v>1951</v>
      </c>
      <c r="B21" s="79">
        <f t="shared" si="2"/>
        <v>54981</v>
      </c>
      <c r="C21" s="70"/>
      <c r="D21" s="70"/>
      <c r="E21" s="70"/>
      <c r="F21" s="70"/>
    </row>
    <row r="22" spans="1:6" ht="13.5" hidden="1">
      <c r="A22" s="70">
        <f t="shared" si="2"/>
        <v>1961</v>
      </c>
      <c r="B22" s="79">
        <f t="shared" si="2"/>
        <v>67026</v>
      </c>
      <c r="C22" s="80">
        <f>IF(B21=0,"-",B22-B21)</f>
        <v>12045</v>
      </c>
      <c r="D22" s="80"/>
      <c r="E22" s="72">
        <f>IF(B21=0,"-",((B22/B21)-1))</f>
        <v>0.21907568068969274</v>
      </c>
      <c r="F22" s="70"/>
    </row>
    <row r="23" spans="1:6" ht="13.5" hidden="1">
      <c r="A23" s="70">
        <f t="shared" si="2"/>
        <v>1971</v>
      </c>
      <c r="B23" s="79">
        <f t="shared" si="2"/>
        <v>87981</v>
      </c>
      <c r="C23" s="80">
        <f>IF(B22=0,"-",B23-B22)</f>
        <v>20955</v>
      </c>
      <c r="D23" s="80">
        <f>(IF(C22="-","-",C23-C22))</f>
        <v>8910</v>
      </c>
      <c r="E23" s="72">
        <f>IF(B22=0,"-",((B23/B22)-1))</f>
        <v>0.31263987109479907</v>
      </c>
      <c r="F23" s="70"/>
    </row>
    <row r="24" spans="1:6" ht="13.5" hidden="1">
      <c r="A24" s="70">
        <f t="shared" si="2"/>
        <v>1981</v>
      </c>
      <c r="B24" s="79">
        <f t="shared" si="2"/>
        <v>137927</v>
      </c>
      <c r="C24" s="80">
        <f>IF(B23=0,"-",B24-B23)</f>
        <v>49946</v>
      </c>
      <c r="D24" s="80">
        <f>(IF(C23="-","-",C24-C23))</f>
        <v>28991</v>
      </c>
      <c r="E24" s="72">
        <f>IF(B23=0,"-",((B24/B23)-1))</f>
        <v>0.5676907514122367</v>
      </c>
      <c r="F24" s="70"/>
    </row>
    <row r="25" spans="1:6" ht="13.5" hidden="1">
      <c r="A25" s="70">
        <f t="shared" si="2"/>
        <v>1991</v>
      </c>
      <c r="B25" s="79">
        <f t="shared" si="2"/>
        <v>191000</v>
      </c>
      <c r="C25" s="80">
        <f>IF(B24=0,"-",B25-B24)</f>
        <v>53073</v>
      </c>
      <c r="D25" s="80">
        <f>(IF(C24="-","-",C25-C24))</f>
        <v>3127</v>
      </c>
      <c r="E25" s="72">
        <f>IF(B24=0,"-",((B25/B24)-1))</f>
        <v>0.38479050512227486</v>
      </c>
      <c r="F25" s="70"/>
    </row>
    <row r="26" spans="1:6" ht="13.5" hidden="1">
      <c r="A26" s="70">
        <f t="shared" si="2"/>
        <v>2001</v>
      </c>
      <c r="B26" s="79">
        <f t="shared" si="2"/>
        <v>268823</v>
      </c>
      <c r="C26" s="80">
        <f>IF(B25=0,"-",B26-B25)</f>
        <v>77823</v>
      </c>
      <c r="D26" s="80">
        <f>(IF(C25="-","-",C26-C25))</f>
        <v>24750</v>
      </c>
      <c r="E26" s="72">
        <f>IF(B25=0,"-",((B26/B25)-1))</f>
        <v>0.4074502617801048</v>
      </c>
      <c r="F26" s="70"/>
    </row>
    <row r="27" spans="1:6" ht="13.5" hidden="1">
      <c r="A27" s="70"/>
      <c r="B27" s="70"/>
      <c r="C27" s="81">
        <f>AVERAGE(C21:C26)</f>
        <v>42768.4</v>
      </c>
      <c r="D27" s="81">
        <f>AVERAGE(D21:D26)</f>
        <v>16444.5</v>
      </c>
      <c r="E27" s="82">
        <f>AVERAGE(E21:E26)</f>
        <v>0.3783294140198216</v>
      </c>
      <c r="F27" s="70"/>
    </row>
    <row r="28" spans="1:9" ht="13.5" hidden="1">
      <c r="A28" s="70">
        <v>2011</v>
      </c>
      <c r="B28" s="79">
        <f>IF($C$32=TRUE,C28,IF($D$32=TRUE,D28,IF($E$32=TRUE,E28,IF($F$32=TRUE,F28,IF($G$32=TRUE,G28,IF($H$32=TRUE,H28))))))</f>
        <v>370526.64806505054</v>
      </c>
      <c r="C28" s="83">
        <f>B26+C27</f>
        <v>311591.4</v>
      </c>
      <c r="D28" s="84">
        <f>B26+1*$C$27+(1*(1+1)*$D$27)/2</f>
        <v>328035.9</v>
      </c>
      <c r="E28" s="79">
        <f>B26*(1+E27)</f>
        <v>370526.64806505054</v>
      </c>
      <c r="F28" s="80">
        <f>AVERAGE(C28:E28)</f>
        <v>336717.9826883502</v>
      </c>
      <c r="G28" s="80">
        <f>'INPUT DATA'!K12</f>
        <v>0</v>
      </c>
      <c r="H28" s="79">
        <f>B26*(1+I28)</f>
        <v>268823</v>
      </c>
      <c r="I28" s="72">
        <f>'INPUT DATA'!K17</f>
        <v>0</v>
      </c>
    </row>
    <row r="29" spans="1:9" ht="13.5" hidden="1">
      <c r="A29" s="70">
        <v>2021</v>
      </c>
      <c r="B29" s="79">
        <f>IF($C$32=TRUE,C29,IF($D$32=TRUE,D29,IF($E$32=TRUE,E29,IF($F$32=TRUE,F29,IF($G$32=TRUE,G29,IF($H$32=TRUE,H29))))))</f>
        <v>510707.7777062298</v>
      </c>
      <c r="C29" s="83">
        <f>C28+$C$27</f>
        <v>354359.80000000005</v>
      </c>
      <c r="D29" s="84">
        <f>C28+1*$C$27+(1*(1+1)*$D$27)/2</f>
        <v>370804.30000000005</v>
      </c>
      <c r="E29" s="79">
        <f>E28*(1+$E$27)</f>
        <v>510707.7777062298</v>
      </c>
      <c r="F29" s="80">
        <f>AVERAGE(C29:E29)</f>
        <v>411957.2925687433</v>
      </c>
      <c r="G29" s="80">
        <f>'INPUT DATA'!L12</f>
        <v>0</v>
      </c>
      <c r="H29" s="79">
        <f>H28*(1+I29)</f>
        <v>268823</v>
      </c>
      <c r="I29" s="72">
        <f>'INPUT DATA'!L17</f>
        <v>0</v>
      </c>
    </row>
    <row r="30" spans="1:9" ht="13.5" hidden="1">
      <c r="A30" s="70">
        <v>2031</v>
      </c>
      <c r="B30" s="79">
        <f>IF($C$32=TRUE,C30,IF($D$32=TRUE,D30,IF($E$32=TRUE,E30,IF($F$32=TRUE,F30,IF($G$32=TRUE,G30,IF($H$32=TRUE,H30))))))</f>
        <v>703923.5519811931</v>
      </c>
      <c r="C30" s="83">
        <f>C29+$C$27</f>
        <v>397128.20000000007</v>
      </c>
      <c r="D30" s="84">
        <f>C29+1*$C$27+(1*(1+1)*$D$27)/2</f>
        <v>413572.70000000007</v>
      </c>
      <c r="E30" s="79">
        <f>E29*(1+$E$27)</f>
        <v>703923.5519811931</v>
      </c>
      <c r="F30" s="80">
        <f>AVERAGE(C30:E30)</f>
        <v>504874.81732706446</v>
      </c>
      <c r="G30" s="80">
        <f>'INPUT DATA'!M12</f>
        <v>0</v>
      </c>
      <c r="H30" s="79">
        <f>H29*(1+I30)</f>
        <v>268823</v>
      </c>
      <c r="I30" s="72">
        <f>'INPUT DATA'!M17</f>
        <v>0</v>
      </c>
    </row>
    <row r="31" spans="1:9" ht="13.5" hidden="1">
      <c r="A31" s="70">
        <v>2041</v>
      </c>
      <c r="B31" s="79">
        <f>IF($C$32=TRUE,C31,IF($D$32=TRUE,D31,IF($E$32=TRUE,E31,IF($F$32=TRUE,F31,IF($G$32=TRUE,G31,IF($H$32=TRUE,H31))))))</f>
        <v>970238.5369169894</v>
      </c>
      <c r="C31" s="83">
        <f>C30+$C$27</f>
        <v>439896.6000000001</v>
      </c>
      <c r="D31" s="84">
        <f>C30+1*$C$27+(1*(1+1)*$D$27)/2</f>
        <v>456341.1000000001</v>
      </c>
      <c r="E31" s="79">
        <f>E30*(1+$E$27)</f>
        <v>970238.5369169894</v>
      </c>
      <c r="F31" s="80">
        <f>AVERAGE(C31:E31)</f>
        <v>622158.7456389965</v>
      </c>
      <c r="G31" s="80">
        <f>'INPUT DATA'!N12</f>
        <v>0</v>
      </c>
      <c r="H31" s="79">
        <f>H30*(1+I31)</f>
        <v>268823</v>
      </c>
      <c r="I31" s="72">
        <f>'INPUT DATA'!N17</f>
        <v>0</v>
      </c>
    </row>
    <row r="32" spans="3:9" ht="14.25" thickBot="1">
      <c r="C32" s="85" t="b">
        <f>EXACT(C19,'INPUT DATA'!$K$8)</f>
        <v>0</v>
      </c>
      <c r="D32" s="85" t="b">
        <f>EXACT(D19,'INPUT DATA'!$K$8)</f>
        <v>0</v>
      </c>
      <c r="E32" s="85" t="b">
        <f>EXACT(E19,'INPUT DATA'!$K$8)</f>
        <v>1</v>
      </c>
      <c r="F32" s="85" t="b">
        <f>EXACT(F19,'INPUT DATA'!$K$8)</f>
        <v>0</v>
      </c>
      <c r="G32" s="85" t="b">
        <f>EXACT(G19,'INPUT DATA'!$K$8)</f>
        <v>0</v>
      </c>
      <c r="H32" s="85" t="b">
        <f>EXACT(H19,'INPUT DATA'!$K$8)</f>
        <v>0</v>
      </c>
      <c r="I32" s="72"/>
    </row>
    <row r="33" ht="15.75" thickBot="1">
      <c r="L33" s="183"/>
    </row>
    <row r="34" ht="15.75" thickBot="1">
      <c r="L34" s="184"/>
    </row>
    <row r="35" ht="15.75" thickBot="1">
      <c r="L35" s="184"/>
    </row>
  </sheetData>
  <sheetProtection password="CA9C" sheet="1" selectLockedCells="1" selectUnlockedCells="1"/>
  <conditionalFormatting sqref="C32:F32">
    <cfRule type="expression" priority="23" dxfId="4" stopIfTrue="1">
      <formula>"""Y"""</formula>
    </cfRule>
    <cfRule type="expression" priority="24" dxfId="3" stopIfTrue="1">
      <formula>"""N"""</formula>
    </cfRule>
  </conditionalFormatting>
  <conditionalFormatting sqref="C32:F32">
    <cfRule type="containsText" priority="16" dxfId="0" operator="containsText" text="Y">
      <formula>NOT(ISERROR(SEARCH("Y",C32)))</formula>
    </cfRule>
  </conditionalFormatting>
  <conditionalFormatting sqref="G32">
    <cfRule type="expression" priority="14" dxfId="4" stopIfTrue="1">
      <formula>"""Y"""</formula>
    </cfRule>
    <cfRule type="expression" priority="15" dxfId="3" stopIfTrue="1">
      <formula>"""N"""</formula>
    </cfRule>
  </conditionalFormatting>
  <conditionalFormatting sqref="G32">
    <cfRule type="containsText" priority="13" dxfId="0" operator="containsText" text="Y">
      <formula>NOT(ISERROR(SEARCH("Y",G32)))</formula>
    </cfRule>
  </conditionalFormatting>
  <conditionalFormatting sqref="G32">
    <cfRule type="expression" priority="11" dxfId="4" stopIfTrue="1">
      <formula>"""Y"""</formula>
    </cfRule>
    <cfRule type="expression" priority="12" dxfId="3" stopIfTrue="1">
      <formula>"""N"""</formula>
    </cfRule>
  </conditionalFormatting>
  <conditionalFormatting sqref="G32">
    <cfRule type="containsText" priority="10" dxfId="0" operator="containsText" text="Y">
      <formula>NOT(ISERROR(SEARCH("Y",G32)))</formula>
    </cfRule>
  </conditionalFormatting>
  <conditionalFormatting sqref="C32:G32">
    <cfRule type="cellIs" priority="9" dxfId="1" operator="equal">
      <formula>"""TRUE"""</formula>
    </cfRule>
  </conditionalFormatting>
  <conditionalFormatting sqref="H32">
    <cfRule type="expression" priority="7" dxfId="4" stopIfTrue="1">
      <formula>"""Y"""</formula>
    </cfRule>
    <cfRule type="expression" priority="8" dxfId="3" stopIfTrue="1">
      <formula>"""N"""</formula>
    </cfRule>
  </conditionalFormatting>
  <conditionalFormatting sqref="H32">
    <cfRule type="containsText" priority="6" dxfId="0" operator="containsText" text="Y">
      <formula>NOT(ISERROR(SEARCH("Y",H32)))</formula>
    </cfRule>
  </conditionalFormatting>
  <conditionalFormatting sqref="H32">
    <cfRule type="expression" priority="4" dxfId="4" stopIfTrue="1">
      <formula>"""Y"""</formula>
    </cfRule>
    <cfRule type="expression" priority="5" dxfId="3" stopIfTrue="1">
      <formula>"""N"""</formula>
    </cfRule>
  </conditionalFormatting>
  <conditionalFormatting sqref="H32">
    <cfRule type="containsText" priority="3" dxfId="0" operator="containsText" text="Y">
      <formula>NOT(ISERROR(SEARCH("Y",H32)))</formula>
    </cfRule>
  </conditionalFormatting>
  <conditionalFormatting sqref="H32">
    <cfRule type="cellIs" priority="2" dxfId="1" operator="equal">
      <formula>"""TRUE"""</formula>
    </cfRule>
  </conditionalFormatting>
  <conditionalFormatting sqref="C32:H32">
    <cfRule type="containsText" priority="1" dxfId="0" operator="containsText" text="TRUE">
      <formula>NOT(ISERROR(SEARCH("TRUE",C32)))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8" customWidth="1"/>
    <col min="2" max="2" width="12.8515625" style="68" customWidth="1"/>
    <col min="3" max="3" width="9.140625" style="68" customWidth="1"/>
    <col min="4" max="4" width="18.8515625" style="68" bestFit="1" customWidth="1"/>
    <col min="5" max="5" width="8.57421875" style="68" bestFit="1" customWidth="1"/>
    <col min="6" max="16384" width="9.140625" style="68" customWidth="1"/>
  </cols>
  <sheetData>
    <row r="1" ht="13.5">
      <c r="A1" s="67" t="s">
        <v>4</v>
      </c>
    </row>
    <row r="3" spans="1:7" ht="13.5">
      <c r="A3" s="68" t="s">
        <v>1</v>
      </c>
      <c r="B3" s="68" t="s">
        <v>16</v>
      </c>
      <c r="C3" s="68" t="s">
        <v>8</v>
      </c>
      <c r="D3" s="69" t="s">
        <v>7</v>
      </c>
      <c r="E3" s="68" t="s">
        <v>15</v>
      </c>
      <c r="G3" s="68" t="s">
        <v>287</v>
      </c>
    </row>
    <row r="4" spans="3:4" ht="13.5">
      <c r="C4" s="86" t="s">
        <v>9</v>
      </c>
      <c r="D4" s="86" t="s">
        <v>12</v>
      </c>
    </row>
    <row r="5" spans="1:5" ht="13.5">
      <c r="A5" s="68">
        <f>'INPUT DATA'!C18</f>
        <v>2009</v>
      </c>
      <c r="B5" s="73">
        <f>'INPUT DATA'!D18</f>
        <v>347495</v>
      </c>
      <c r="C5" s="71">
        <f>'INPUT DATA'!F18</f>
        <v>358.27853638181847</v>
      </c>
      <c r="D5" s="74">
        <f>B5*C5/10^6</f>
        <v>124.50000000000001</v>
      </c>
      <c r="E5" s="71">
        <f>Pop_Projection!E9</f>
        <v>51000</v>
      </c>
    </row>
    <row r="6" spans="1:7" ht="13.5">
      <c r="A6" s="68">
        <f>Pop_Projection!A10</f>
        <v>2011</v>
      </c>
      <c r="B6" s="71">
        <f>Pop_Projection!B10</f>
        <v>370526.64806505054</v>
      </c>
      <c r="C6" s="74">
        <f aca="true" t="shared" si="0" ref="C6:C12">C5*((1+$D$14)^(A6-A5))</f>
        <v>368.4532204636039</v>
      </c>
      <c r="D6" s="74">
        <f>B6*C6/10^6</f>
        <v>136.52173674715223</v>
      </c>
      <c r="E6" s="71">
        <f>Pop_Projection!E10</f>
        <v>70294.80011501092</v>
      </c>
      <c r="G6" s="200"/>
    </row>
    <row r="7" spans="1:8" ht="13.5">
      <c r="A7" s="68">
        <f>Pop_Projection!A11</f>
        <v>2016</v>
      </c>
      <c r="B7" s="71">
        <f>Pop_Projection!B11</f>
        <v>435006.7137576616</v>
      </c>
      <c r="C7" s="74">
        <f t="shared" si="0"/>
        <v>395.1720959336193</v>
      </c>
      <c r="D7" s="74">
        <f aca="true" t="shared" si="1" ref="D7:D12">B7*C7/10^6</f>
        <v>171.9025148208111</v>
      </c>
      <c r="E7" s="71">
        <f>Pop_Projection!E11</f>
        <v>82527.6944370115</v>
      </c>
      <c r="F7" s="199">
        <f>D7/$F$11</f>
        <v>0.17120326829362145</v>
      </c>
      <c r="G7" s="200">
        <f aca="true" t="shared" si="2" ref="G7:G12">D7/$G$13</f>
        <v>0.08680582031668722</v>
      </c>
      <c r="H7" s="201"/>
    </row>
    <row r="8" spans="1:7" ht="13.5">
      <c r="A8" s="68">
        <f>Pop_Projection!A12</f>
        <v>2021</v>
      </c>
      <c r="B8" s="71">
        <f>Pop_Projection!B12</f>
        <v>510707.7777062298</v>
      </c>
      <c r="C8" s="74">
        <f t="shared" si="0"/>
        <v>423.8285262049849</v>
      </c>
      <c r="D8" s="74">
        <f t="shared" si="1"/>
        <v>216.45252474665443</v>
      </c>
      <c r="E8" s="71">
        <f>Pop_Projection!E12</f>
        <v>96889.39065116349</v>
      </c>
      <c r="F8" s="199">
        <f>D8/$F$11</f>
        <v>0.21557206248937857</v>
      </c>
      <c r="G8" s="200">
        <f t="shared" si="2"/>
        <v>0.10930229258040312</v>
      </c>
    </row>
    <row r="9" spans="1:8" ht="13.5">
      <c r="A9" s="68">
        <f>Pop_Projection!A13</f>
        <v>2026</v>
      </c>
      <c r="B9" s="71">
        <f>Pop_Projection!B13</f>
        <v>599582.5488682861</v>
      </c>
      <c r="C9" s="74">
        <f t="shared" si="0"/>
        <v>454.56301564183264</v>
      </c>
      <c r="D9" s="74">
        <f t="shared" si="1"/>
        <v>272.54805153978464</v>
      </c>
      <c r="E9" s="71">
        <f>Pop_Projection!E13</f>
        <v>113750.34871377297</v>
      </c>
      <c r="F9" s="199">
        <f>D9/$F$11</f>
        <v>0.27143940994294613</v>
      </c>
      <c r="G9" s="200">
        <f t="shared" si="2"/>
        <v>0.1376289184267451</v>
      </c>
      <c r="H9" s="201"/>
    </row>
    <row r="10" spans="1:7" ht="13.5">
      <c r="A10" s="68">
        <f>Pop_Projection!A14</f>
        <v>2031</v>
      </c>
      <c r="B10" s="71">
        <f>Pop_Projection!B14</f>
        <v>703923.5519811931</v>
      </c>
      <c r="C10" s="74">
        <f t="shared" si="0"/>
        <v>487.5262574691857</v>
      </c>
      <c r="D10" s="74">
        <f t="shared" si="1"/>
        <v>343.1812148418069</v>
      </c>
      <c r="E10" s="71">
        <f>Pop_Projection!E14</f>
        <v>133545.49704095576</v>
      </c>
      <c r="F10" s="199">
        <f>D10/$F$11</f>
        <v>0.34178525927405384</v>
      </c>
      <c r="G10" s="200">
        <f t="shared" si="2"/>
        <v>0.17329663212125287</v>
      </c>
    </row>
    <row r="11" spans="1:8" ht="13.5">
      <c r="A11" s="68">
        <f>Pop_Projection!A15</f>
        <v>2036</v>
      </c>
      <c r="B11" s="71">
        <f>Pop_Projection!B15</f>
        <v>826422.2632381358</v>
      </c>
      <c r="C11" s="74">
        <f t="shared" si="0"/>
        <v>522.8798726317613</v>
      </c>
      <c r="D11" s="74">
        <f t="shared" si="1"/>
        <v>432.1195677420083</v>
      </c>
      <c r="E11" s="71">
        <f>Pop_Projection!E15</f>
        <v>156785.45148720508</v>
      </c>
      <c r="F11" s="74">
        <f>SUM(D7:D10)</f>
        <v>1004.084305949057</v>
      </c>
      <c r="G11" s="200">
        <f t="shared" si="2"/>
        <v>0.21820793949313522</v>
      </c>
      <c r="H11" s="201"/>
    </row>
    <row r="12" spans="1:7" ht="13.5">
      <c r="A12" s="68">
        <f>Pop_Projection!A16</f>
        <v>2041</v>
      </c>
      <c r="B12" s="71">
        <f>Pop_Projection!B16</f>
        <v>970238.5369169894</v>
      </c>
      <c r="C12" s="74">
        <f t="shared" si="0"/>
        <v>560.7972022321022</v>
      </c>
      <c r="D12" s="74">
        <f t="shared" si="1"/>
        <v>544.1070570008159</v>
      </c>
      <c r="E12" s="71">
        <f>Pop_Projection!E16</f>
        <v>184069.6866814464</v>
      </c>
      <c r="G12" s="200">
        <f t="shared" si="2"/>
        <v>0.2747583970617764</v>
      </c>
    </row>
    <row r="13" ht="13.5">
      <c r="G13" s="74">
        <f>SUM(D7:D12)</f>
        <v>1980.3109306918814</v>
      </c>
    </row>
    <row r="14" spans="2:4" ht="13.5">
      <c r="B14" s="68" t="s">
        <v>10</v>
      </c>
      <c r="D14" s="87">
        <v>0.0141</v>
      </c>
    </row>
  </sheetData>
  <sheetProtection password="CA9C" sheet="1"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L6" sqref="L6:M7"/>
    </sheetView>
  </sheetViews>
  <sheetFormatPr defaultColWidth="9.140625" defaultRowHeight="12.75"/>
  <cols>
    <col min="1" max="1" width="5.140625" style="88" customWidth="1"/>
    <col min="2" max="2" width="22.421875" style="88" customWidth="1"/>
    <col min="3" max="3" width="10.00390625" style="88" bestFit="1" customWidth="1"/>
    <col min="4" max="10" width="9.140625" style="88" customWidth="1"/>
    <col min="11" max="13" width="9.8515625" style="88" bestFit="1" customWidth="1"/>
    <col min="14" max="16384" width="9.140625" style="88" customWidth="1"/>
  </cols>
  <sheetData>
    <row r="1" ht="13.5">
      <c r="A1" s="67" t="s">
        <v>166</v>
      </c>
    </row>
    <row r="4" spans="1:13" ht="12.75">
      <c r="A4" s="89" t="s">
        <v>17</v>
      </c>
      <c r="B4" s="89" t="s">
        <v>18</v>
      </c>
      <c r="C4" s="89" t="s">
        <v>1</v>
      </c>
      <c r="D4" s="89"/>
      <c r="E4" s="89"/>
      <c r="F4" s="89"/>
      <c r="G4" s="89"/>
      <c r="H4" s="89"/>
      <c r="I4" s="89"/>
      <c r="M4" s="91"/>
    </row>
    <row r="5" spans="3:9" ht="12.75">
      <c r="C5" s="90">
        <f>Waste_Projection!A6</f>
        <v>2011</v>
      </c>
      <c r="D5" s="90">
        <f>Waste_Projection!A7</f>
        <v>2016</v>
      </c>
      <c r="E5" s="90">
        <f>Waste_Projection!A8</f>
        <v>2021</v>
      </c>
      <c r="F5" s="90">
        <f>Waste_Projection!A9</f>
        <v>2026</v>
      </c>
      <c r="G5" s="90">
        <f>Waste_Projection!A10</f>
        <v>2031</v>
      </c>
      <c r="H5" s="90">
        <f>Waste_Projection!A11</f>
        <v>2036</v>
      </c>
      <c r="I5" s="90">
        <f>Waste_Projection!A12</f>
        <v>2041</v>
      </c>
    </row>
    <row r="6" spans="2:17" ht="12.75">
      <c r="B6" s="88" t="s">
        <v>13</v>
      </c>
      <c r="C6" s="91">
        <f>Waste_Projection!E6</f>
        <v>70294.80011501092</v>
      </c>
      <c r="D6" s="91">
        <f>Waste_Projection!E7</f>
        <v>82527.6944370115</v>
      </c>
      <c r="E6" s="91">
        <f>Waste_Projection!E8</f>
        <v>96889.39065116349</v>
      </c>
      <c r="F6" s="91">
        <f>Waste_Projection!E9</f>
        <v>113750.34871377297</v>
      </c>
      <c r="G6" s="91">
        <f>Waste_Projection!E10</f>
        <v>133545.49704095576</v>
      </c>
      <c r="H6" s="91">
        <f>Waste_Projection!E11</f>
        <v>156785.45148720508</v>
      </c>
      <c r="I6" s="91">
        <f>Waste_Projection!E12</f>
        <v>184069.6866814464</v>
      </c>
      <c r="K6" s="91"/>
      <c r="L6" s="91"/>
      <c r="M6" s="175"/>
      <c r="N6" s="91"/>
      <c r="O6" s="91"/>
      <c r="P6" s="91"/>
      <c r="Q6" s="91"/>
    </row>
    <row r="7" spans="2:17" ht="12.75">
      <c r="B7" s="88" t="s">
        <v>67</v>
      </c>
      <c r="C7" s="91">
        <f>'INPUT DATA'!$E$24</f>
        <v>270</v>
      </c>
      <c r="D7" s="91">
        <f aca="true" t="shared" si="0" ref="D7:I7">(D6-C6)/2500+C7</f>
        <v>274.89315772880025</v>
      </c>
      <c r="E7" s="91">
        <f t="shared" si="0"/>
        <v>280.63783621446106</v>
      </c>
      <c r="F7" s="91">
        <f t="shared" si="0"/>
        <v>287.38221943950487</v>
      </c>
      <c r="G7" s="91">
        <f t="shared" si="0"/>
        <v>295.300278770378</v>
      </c>
      <c r="H7" s="91">
        <f t="shared" si="0"/>
        <v>304.5962605488777</v>
      </c>
      <c r="I7" s="91">
        <f t="shared" si="0"/>
        <v>315.5099546265742</v>
      </c>
      <c r="L7" s="92"/>
      <c r="M7" s="92"/>
      <c r="N7" s="92"/>
      <c r="O7" s="92"/>
      <c r="P7" s="92"/>
      <c r="Q7" s="92"/>
    </row>
    <row r="8" spans="2:12" ht="12.75">
      <c r="B8" s="88" t="s">
        <v>72</v>
      </c>
      <c r="C8" s="91">
        <f>(C7*1000*'INPUT DATA'!$E$27/'INPUT DATA'!$E$31)+((C7*1000*'INPUT DATA'!$E$28/'INPUT DATA'!$E$31)/2)+((C7*1000*'INPUT DATA'!$E$29/'INPUT DATA'!$E$31)/7)+((C7*1000*'INPUT DATA'!$E$30/'INPUT DATA'!$E$31)/15)</f>
        <v>303.42857142857144</v>
      </c>
      <c r="D8" s="91">
        <f>(D7*1000*'INPUT DATA'!$E$27/'INPUT DATA'!$E$31)+((D7*1000*'INPUT DATA'!$E$28/'INPUT DATA'!$E$31)/2)+((D7*1000*'INPUT DATA'!$E$29/'INPUT DATA'!$E$31)/7)+((D7*1000*'INPUT DATA'!$E$30/'INPUT DATA'!$E$31)/15)</f>
        <v>308.9275486856994</v>
      </c>
      <c r="E8" s="91">
        <f>(E7*1000*'INPUT DATA'!$E$27/'INPUT DATA'!$E$31)+((E7*1000*'INPUT DATA'!$E$28/'INPUT DATA'!$E$31)/2)+((E7*1000*'INPUT DATA'!$E$29/'INPUT DATA'!$E$31)/7)+((E7*1000*'INPUT DATA'!$E$30/'INPUT DATA'!$E$31)/15)</f>
        <v>315.3834730791087</v>
      </c>
      <c r="F8" s="91">
        <f>(F7*1000*'INPUT DATA'!$E$27/'INPUT DATA'!$E$31)+((F7*1000*'INPUT DATA'!$E$28/'INPUT DATA'!$E$31)/2)+((F7*1000*'INPUT DATA'!$E$29/'INPUT DATA'!$E$31)/7)+((F7*1000*'INPUT DATA'!$E$30/'INPUT DATA'!$E$31)/15)</f>
        <v>322.96287517963407</v>
      </c>
      <c r="G8" s="91">
        <f>(G7*1000*'INPUT DATA'!$E$27/'INPUT DATA'!$E$31)+((G7*1000*'INPUT DATA'!$E$28/'INPUT DATA'!$E$31)/2)+((G7*1000*'INPUT DATA'!$E$29/'INPUT DATA'!$E$31)/7)+((G7*1000*'INPUT DATA'!$E$30/'INPUT DATA'!$E$31)/15)</f>
        <v>331.86126566575814</v>
      </c>
      <c r="H8" s="91">
        <f>(H7*1000*'INPUT DATA'!$E$27/'INPUT DATA'!$E$31)+((H7*1000*'INPUT DATA'!$E$28/'INPUT DATA'!$E$31)/2)+((H7*1000*'INPUT DATA'!$E$29/'INPUT DATA'!$E$31)/7)+((H7*1000*'INPUT DATA'!$E$30/'INPUT DATA'!$E$31)/15)</f>
        <v>342.30817852159595</v>
      </c>
      <c r="I8" s="91">
        <f>(I7*1000*'INPUT DATA'!$E$27/'INPUT DATA'!$E$31)+((I7*1000*'INPUT DATA'!$E$28/'INPUT DATA'!$E$31)/2)+((I7*1000*'INPUT DATA'!$E$29/'INPUT DATA'!$E$31)/7)+((I7*1000*'INPUT DATA'!$E$30/'INPUT DATA'!$E$31)/15)</f>
        <v>354.57309186605477</v>
      </c>
      <c r="K8" s="92"/>
      <c r="L8" s="95"/>
    </row>
    <row r="9" spans="2:12" ht="12.75">
      <c r="B9" s="88" t="s">
        <v>68</v>
      </c>
      <c r="C9" s="174">
        <f>'INPUT DATA'!$E$25</f>
        <v>25</v>
      </c>
      <c r="D9" s="174">
        <f aca="true" t="shared" si="1" ref="D9:I9">C9/C8*D8</f>
        <v>25.453070160074102</v>
      </c>
      <c r="E9" s="174">
        <f t="shared" si="1"/>
        <v>25.984984834672325</v>
      </c>
      <c r="F9" s="174">
        <f t="shared" si="1"/>
        <v>26.60946476291712</v>
      </c>
      <c r="G9" s="174">
        <f t="shared" si="1"/>
        <v>27.34261840466463</v>
      </c>
      <c r="H9" s="174">
        <f t="shared" si="1"/>
        <v>28.203357458229423</v>
      </c>
      <c r="I9" s="174">
        <f t="shared" si="1"/>
        <v>29.213884687645756</v>
      </c>
      <c r="L9" s="92"/>
    </row>
    <row r="10" spans="2:14" ht="12.75">
      <c r="B10" s="88" t="s">
        <v>69</v>
      </c>
      <c r="C10" s="91">
        <f>Waste_Projection!D6</f>
        <v>136.52173674715223</v>
      </c>
      <c r="D10" s="91">
        <f>Waste_Projection!D7</f>
        <v>171.9025148208111</v>
      </c>
      <c r="E10" s="91">
        <f>Waste_Projection!D8</f>
        <v>216.45252474665443</v>
      </c>
      <c r="F10" s="91">
        <f>Waste_Projection!D9</f>
        <v>272.54805153978464</v>
      </c>
      <c r="G10" s="91">
        <f>Waste_Projection!D10</f>
        <v>343.1812148418069</v>
      </c>
      <c r="H10" s="91">
        <f>Waste_Projection!D11</f>
        <v>432.1195677420083</v>
      </c>
      <c r="I10" s="91">
        <f>Waste_Projection!D12</f>
        <v>544.1070570008159</v>
      </c>
      <c r="L10" s="92"/>
      <c r="M10" s="92"/>
      <c r="N10" s="92"/>
    </row>
    <row r="11" spans="3:9" ht="3.75" customHeight="1">
      <c r="C11" s="91"/>
      <c r="D11" s="91"/>
      <c r="E11" s="91"/>
      <c r="F11" s="91"/>
      <c r="G11" s="91"/>
      <c r="H11" s="91"/>
      <c r="I11" s="91"/>
    </row>
    <row r="12" ht="12.75">
      <c r="B12" s="93" t="s">
        <v>19</v>
      </c>
    </row>
    <row r="13" spans="1:9" ht="12.75">
      <c r="A13" s="94">
        <v>1</v>
      </c>
      <c r="B13" s="94" t="s">
        <v>276</v>
      </c>
      <c r="C13" s="94"/>
      <c r="D13" s="94"/>
      <c r="E13" s="94"/>
      <c r="F13" s="94"/>
      <c r="G13" s="94"/>
      <c r="H13" s="94"/>
      <c r="I13" s="94"/>
    </row>
    <row r="14" spans="2:9" ht="12.75">
      <c r="B14" s="88" t="s">
        <v>25</v>
      </c>
      <c r="C14" s="91">
        <f>ROUNDUP(C6*Standards!$L$7/Standards!$F$8*(1+Standards!$F$9),0)</f>
        <v>217</v>
      </c>
      <c r="D14" s="91">
        <f>ROUNDUP(D6*Standards!$L$7/Standards!$F$8*(1+Standards!$F$9),0)</f>
        <v>255</v>
      </c>
      <c r="E14" s="91">
        <f>ROUNDUP(E6*Standards!$L$7/Standards!$F$8*(1+Standards!$F$9),0)</f>
        <v>299</v>
      </c>
      <c r="F14" s="91">
        <f>ROUNDUP(F6*Standards!$L$7/Standards!$F$8*(1+Standards!$F$9),0)</f>
        <v>351</v>
      </c>
      <c r="G14" s="91">
        <f>ROUNDUP(G6*Standards!$L$7/Standards!$F$8*(1+Standards!$F$9),0)</f>
        <v>412</v>
      </c>
      <c r="H14" s="91">
        <f>ROUNDUP(H6*Standards!$L$7/Standards!$F$8*(1+Standards!$F$9),0)</f>
        <v>483</v>
      </c>
      <c r="I14" s="91">
        <f>ROUNDUP(I6*Standards!$L$7/Standards!$F$8*(1+Standards!$F$9),0)</f>
        <v>567</v>
      </c>
    </row>
    <row r="15" spans="2:9" ht="12.75">
      <c r="B15" s="88" t="s">
        <v>26</v>
      </c>
      <c r="C15" s="95">
        <f>C14</f>
        <v>217</v>
      </c>
      <c r="D15" s="95">
        <f aca="true" t="shared" si="2" ref="D15:I15">D14-C14</f>
        <v>38</v>
      </c>
      <c r="E15" s="95">
        <f t="shared" si="2"/>
        <v>44</v>
      </c>
      <c r="F15" s="95">
        <f t="shared" si="2"/>
        <v>52</v>
      </c>
      <c r="G15" s="95">
        <f t="shared" si="2"/>
        <v>61</v>
      </c>
      <c r="H15" s="95">
        <f t="shared" si="2"/>
        <v>71</v>
      </c>
      <c r="I15" s="95">
        <f t="shared" si="2"/>
        <v>84</v>
      </c>
    </row>
    <row r="16" spans="2:9" ht="12.75">
      <c r="B16" s="88" t="s">
        <v>22</v>
      </c>
      <c r="D16" s="95">
        <f aca="true" t="shared" si="3" ref="D16:I16">C17</f>
        <v>217</v>
      </c>
      <c r="E16" s="95">
        <f t="shared" si="3"/>
        <v>255</v>
      </c>
      <c r="F16" s="95">
        <f t="shared" si="3"/>
        <v>299</v>
      </c>
      <c r="G16" s="95">
        <f t="shared" si="3"/>
        <v>351</v>
      </c>
      <c r="H16" s="95">
        <f t="shared" si="3"/>
        <v>412</v>
      </c>
      <c r="I16" s="95">
        <f t="shared" si="3"/>
        <v>483</v>
      </c>
    </row>
    <row r="17" spans="2:9" ht="12.75">
      <c r="B17" s="88" t="s">
        <v>27</v>
      </c>
      <c r="C17" s="95">
        <f>SUM(C15:C16)</f>
        <v>217</v>
      </c>
      <c r="D17" s="95">
        <f aca="true" t="shared" si="4" ref="D17:I17">SUM(D15:D16)</f>
        <v>255</v>
      </c>
      <c r="E17" s="95">
        <f t="shared" si="4"/>
        <v>299</v>
      </c>
      <c r="F17" s="95">
        <f t="shared" si="4"/>
        <v>351</v>
      </c>
      <c r="G17" s="95">
        <f t="shared" si="4"/>
        <v>412</v>
      </c>
      <c r="H17" s="95">
        <f t="shared" si="4"/>
        <v>483</v>
      </c>
      <c r="I17" s="95">
        <f t="shared" si="4"/>
        <v>567</v>
      </c>
    </row>
    <row r="19" spans="1:9" ht="12.75">
      <c r="A19" s="94">
        <v>2</v>
      </c>
      <c r="B19" s="94" t="s">
        <v>277</v>
      </c>
      <c r="C19" s="94"/>
      <c r="D19" s="94"/>
      <c r="E19" s="94"/>
      <c r="F19" s="94"/>
      <c r="G19" s="94"/>
      <c r="H19" s="94"/>
      <c r="I19" s="94"/>
    </row>
    <row r="20" spans="2:9" ht="12.75">
      <c r="B20" s="88" t="s">
        <v>25</v>
      </c>
      <c r="C20" s="95">
        <f>ROUND(C6*Standards!$L$6/Standards!$F$15*(1+Standards!$F$16),0)</f>
        <v>12</v>
      </c>
      <c r="D20" s="95">
        <f>ROUND(D6*Standards!$L$6/Standards!$F$15*(1+Standards!$F$16),0)</f>
        <v>14</v>
      </c>
      <c r="E20" s="95">
        <f>ROUND(E6*Standards!$L$6/Standards!$F$15*(1+Standards!$F$16),0)</f>
        <v>16</v>
      </c>
      <c r="F20" s="95">
        <f>ROUND(F6*Standards!$L$6/Standards!$F$15*(1+Standards!$F$16),0)</f>
        <v>19</v>
      </c>
      <c r="G20" s="95">
        <f>ROUND(G6*Standards!$L$6/Standards!$F$15*(1+Standards!$F$16),0)</f>
        <v>22</v>
      </c>
      <c r="H20" s="95">
        <f>ROUND(H6*Standards!$L$6/Standards!$F$15*(1+Standards!$F$16),0)</f>
        <v>26</v>
      </c>
      <c r="I20" s="95">
        <f>ROUND(I6*Standards!$L$6/Standards!$F$15*(1+Standards!$F$16),0)</f>
        <v>31</v>
      </c>
    </row>
    <row r="21" spans="2:9" ht="12.75">
      <c r="B21" s="88" t="s">
        <v>26</v>
      </c>
      <c r="C21" s="95">
        <f>C20</f>
        <v>12</v>
      </c>
      <c r="D21" s="95">
        <f aca="true" t="shared" si="5" ref="D21:I21">D20-C20</f>
        <v>2</v>
      </c>
      <c r="E21" s="95">
        <f t="shared" si="5"/>
        <v>2</v>
      </c>
      <c r="F21" s="95">
        <f t="shared" si="5"/>
        <v>3</v>
      </c>
      <c r="G21" s="95">
        <f t="shared" si="5"/>
        <v>3</v>
      </c>
      <c r="H21" s="95">
        <f t="shared" si="5"/>
        <v>4</v>
      </c>
      <c r="I21" s="95">
        <f t="shared" si="5"/>
        <v>5</v>
      </c>
    </row>
    <row r="22" spans="2:9" ht="12.75">
      <c r="B22" s="88" t="s">
        <v>22</v>
      </c>
      <c r="C22" s="95"/>
      <c r="D22" s="95"/>
      <c r="E22" s="95"/>
      <c r="F22" s="95">
        <f>C23</f>
        <v>12</v>
      </c>
      <c r="G22" s="95">
        <f>D23</f>
        <v>2</v>
      </c>
      <c r="H22" s="95">
        <f>E23</f>
        <v>2</v>
      </c>
      <c r="I22" s="95">
        <f>F23</f>
        <v>15</v>
      </c>
    </row>
    <row r="23" spans="2:9" ht="12.75">
      <c r="B23" s="88" t="s">
        <v>27</v>
      </c>
      <c r="C23" s="95">
        <f>SUM(C21:C22)</f>
        <v>12</v>
      </c>
      <c r="D23" s="95">
        <f aca="true" t="shared" si="6" ref="D23:I23">SUM(D21:D22)</f>
        <v>2</v>
      </c>
      <c r="E23" s="95">
        <f t="shared" si="6"/>
        <v>2</v>
      </c>
      <c r="F23" s="95">
        <f t="shared" si="6"/>
        <v>15</v>
      </c>
      <c r="G23" s="95">
        <f t="shared" si="6"/>
        <v>5</v>
      </c>
      <c r="H23" s="95">
        <f t="shared" si="6"/>
        <v>6</v>
      </c>
      <c r="I23" s="95">
        <f t="shared" si="6"/>
        <v>20</v>
      </c>
    </row>
    <row r="24" spans="3:9" ht="12.75">
      <c r="C24" s="95"/>
      <c r="D24" s="95"/>
      <c r="E24" s="95"/>
      <c r="F24" s="95"/>
      <c r="G24" s="95"/>
      <c r="H24" s="95"/>
      <c r="I24" s="95"/>
    </row>
    <row r="25" ht="12.75">
      <c r="B25" s="93" t="s">
        <v>164</v>
      </c>
    </row>
    <row r="26" spans="1:9" ht="12.75">
      <c r="A26" s="94">
        <v>3</v>
      </c>
      <c r="B26" s="94" t="s">
        <v>252</v>
      </c>
      <c r="C26" s="94"/>
      <c r="D26" s="94"/>
      <c r="E26" s="94"/>
      <c r="F26" s="94"/>
      <c r="G26" s="94"/>
      <c r="H26" s="94"/>
      <c r="I26" s="94"/>
    </row>
    <row r="27" spans="2:9" ht="12.75">
      <c r="B27" s="88" t="s">
        <v>25</v>
      </c>
      <c r="C27" s="95">
        <f>ROUNDUP(C8*Standards!$F$22*(1+Standards!$F$23),0)</f>
        <v>380</v>
      </c>
      <c r="D27" s="95">
        <f>ROUNDUP(D8*Standards!$F$22*(1+Standards!$F$23),0)</f>
        <v>387</v>
      </c>
      <c r="E27" s="95">
        <f>ROUNDUP(E8*Standards!$F$22*(1+Standards!$F$23),0)</f>
        <v>395</v>
      </c>
      <c r="F27" s="95">
        <f>ROUNDUP(F8*Standards!$F$22*(1+Standards!$F$23),0)</f>
        <v>404</v>
      </c>
      <c r="G27" s="95">
        <f>ROUNDUP(G8*Standards!$F$22*(1+Standards!$F$23),0)</f>
        <v>415</v>
      </c>
      <c r="H27" s="95">
        <f>ROUNDUP(H8*Standards!$F$22*(1+Standards!$F$23),0)</f>
        <v>428</v>
      </c>
      <c r="I27" s="95">
        <f>ROUNDUP(I8*Standards!$F$22*(1+Standards!$F$23),0)</f>
        <v>444</v>
      </c>
    </row>
    <row r="28" spans="2:9" ht="12.75">
      <c r="B28" s="88" t="s">
        <v>26</v>
      </c>
      <c r="C28" s="95">
        <f>C27</f>
        <v>380</v>
      </c>
      <c r="D28" s="95">
        <f aca="true" t="shared" si="7" ref="D28:I28">D27-C27</f>
        <v>7</v>
      </c>
      <c r="E28" s="95">
        <f t="shared" si="7"/>
        <v>8</v>
      </c>
      <c r="F28" s="95">
        <f t="shared" si="7"/>
        <v>9</v>
      </c>
      <c r="G28" s="95">
        <f t="shared" si="7"/>
        <v>11</v>
      </c>
      <c r="H28" s="95">
        <f t="shared" si="7"/>
        <v>13</v>
      </c>
      <c r="I28" s="95">
        <f t="shared" si="7"/>
        <v>16</v>
      </c>
    </row>
    <row r="29" spans="2:9" ht="12.75">
      <c r="B29" s="88" t="s">
        <v>22</v>
      </c>
      <c r="D29" s="95">
        <f aca="true" t="shared" si="8" ref="D29:I29">C30</f>
        <v>380</v>
      </c>
      <c r="E29" s="95">
        <f t="shared" si="8"/>
        <v>387</v>
      </c>
      <c r="F29" s="95">
        <f t="shared" si="8"/>
        <v>395</v>
      </c>
      <c r="G29" s="95">
        <f t="shared" si="8"/>
        <v>404</v>
      </c>
      <c r="H29" s="95">
        <f t="shared" si="8"/>
        <v>415</v>
      </c>
      <c r="I29" s="95">
        <f t="shared" si="8"/>
        <v>428</v>
      </c>
    </row>
    <row r="30" spans="2:9" ht="12.75">
      <c r="B30" s="88" t="s">
        <v>27</v>
      </c>
      <c r="C30" s="95">
        <f>SUM(C28:C29)</f>
        <v>380</v>
      </c>
      <c r="D30" s="95">
        <f aca="true" t="shared" si="9" ref="D30:I30">SUM(D28:D29)</f>
        <v>387</v>
      </c>
      <c r="E30" s="95">
        <f t="shared" si="9"/>
        <v>395</v>
      </c>
      <c r="F30" s="95">
        <f t="shared" si="9"/>
        <v>404</v>
      </c>
      <c r="G30" s="95">
        <f t="shared" si="9"/>
        <v>415</v>
      </c>
      <c r="H30" s="95">
        <f t="shared" si="9"/>
        <v>428</v>
      </c>
      <c r="I30" s="95">
        <f t="shared" si="9"/>
        <v>444</v>
      </c>
    </row>
    <row r="32" spans="1:9" ht="12.75">
      <c r="A32" s="94">
        <v>4</v>
      </c>
      <c r="B32" s="94" t="s">
        <v>38</v>
      </c>
      <c r="C32" s="94"/>
      <c r="D32" s="94"/>
      <c r="E32" s="94"/>
      <c r="F32" s="94"/>
      <c r="G32" s="94"/>
      <c r="H32" s="94"/>
      <c r="I32" s="94"/>
    </row>
    <row r="33" spans="2:9" ht="12.75">
      <c r="B33" s="88" t="s">
        <v>25</v>
      </c>
      <c r="C33" s="95">
        <f>ROUNDUP(C9*Standards!$F$30*(1+Standards!$F$31),0)</f>
        <v>625</v>
      </c>
      <c r="D33" s="95">
        <f>ROUNDUP(D9*Standards!$F$30*(1+Standards!$F$31),0)</f>
        <v>637</v>
      </c>
      <c r="E33" s="95">
        <f>ROUNDUP(E9*Standards!$F$30*(1+Standards!$F$31),0)</f>
        <v>650</v>
      </c>
      <c r="F33" s="95">
        <f>ROUNDUP(F9*Standards!$F$30*(1+Standards!$F$31),0)</f>
        <v>666</v>
      </c>
      <c r="G33" s="95">
        <f>ROUNDUP(G9*Standards!$F$30*(1+Standards!$F$31),0)</f>
        <v>684</v>
      </c>
      <c r="H33" s="95">
        <f>ROUNDUP(H9*Standards!$F$30*(1+Standards!$F$31),0)</f>
        <v>706</v>
      </c>
      <c r="I33" s="95">
        <f>ROUNDUP(I9*Standards!$F$30*(1+Standards!$F$31),0)</f>
        <v>731</v>
      </c>
    </row>
    <row r="34" spans="2:9" ht="12.75">
      <c r="B34" s="88" t="s">
        <v>26</v>
      </c>
      <c r="C34" s="95">
        <f>C33</f>
        <v>625</v>
      </c>
      <c r="D34" s="95">
        <f aca="true" t="shared" si="10" ref="D34:I34">D33-C33</f>
        <v>12</v>
      </c>
      <c r="E34" s="95">
        <f t="shared" si="10"/>
        <v>13</v>
      </c>
      <c r="F34" s="95">
        <f t="shared" si="10"/>
        <v>16</v>
      </c>
      <c r="G34" s="95">
        <f t="shared" si="10"/>
        <v>18</v>
      </c>
      <c r="H34" s="95">
        <f t="shared" si="10"/>
        <v>22</v>
      </c>
      <c r="I34" s="95">
        <f t="shared" si="10"/>
        <v>25</v>
      </c>
    </row>
    <row r="35" spans="2:9" ht="12.75">
      <c r="B35" s="88" t="s">
        <v>22</v>
      </c>
      <c r="D35" s="95">
        <f aca="true" t="shared" si="11" ref="D35:I35">C36</f>
        <v>625</v>
      </c>
      <c r="E35" s="95">
        <f t="shared" si="11"/>
        <v>637</v>
      </c>
      <c r="F35" s="95">
        <f t="shared" si="11"/>
        <v>650</v>
      </c>
      <c r="G35" s="95">
        <f t="shared" si="11"/>
        <v>666</v>
      </c>
      <c r="H35" s="95">
        <f t="shared" si="11"/>
        <v>684</v>
      </c>
      <c r="I35" s="95">
        <f t="shared" si="11"/>
        <v>706</v>
      </c>
    </row>
    <row r="36" spans="2:9" ht="12.75">
      <c r="B36" s="88" t="s">
        <v>27</v>
      </c>
      <c r="C36" s="95">
        <f aca="true" t="shared" si="12" ref="C36:I36">SUM(C34:C35)</f>
        <v>625</v>
      </c>
      <c r="D36" s="95">
        <f t="shared" si="12"/>
        <v>637</v>
      </c>
      <c r="E36" s="95">
        <f t="shared" si="12"/>
        <v>650</v>
      </c>
      <c r="F36" s="95">
        <f t="shared" si="12"/>
        <v>666</v>
      </c>
      <c r="G36" s="95">
        <f t="shared" si="12"/>
        <v>684</v>
      </c>
      <c r="H36" s="95">
        <f t="shared" si="12"/>
        <v>706</v>
      </c>
      <c r="I36" s="95">
        <f t="shared" si="12"/>
        <v>731</v>
      </c>
    </row>
    <row r="37" spans="3:9" ht="12.75">
      <c r="C37" s="95"/>
      <c r="D37" s="95"/>
      <c r="E37" s="95"/>
      <c r="F37" s="95"/>
      <c r="G37" s="95"/>
      <c r="H37" s="95"/>
      <c r="I37" s="95"/>
    </row>
    <row r="38" ht="12.75">
      <c r="B38" s="93" t="s">
        <v>165</v>
      </c>
    </row>
    <row r="39" spans="1:9" ht="12.75">
      <c r="A39" s="94">
        <v>5</v>
      </c>
      <c r="B39" s="94" t="s">
        <v>256</v>
      </c>
      <c r="C39" s="94"/>
      <c r="D39" s="94"/>
      <c r="E39" s="94"/>
      <c r="F39" s="94"/>
      <c r="G39" s="94"/>
      <c r="H39" s="94"/>
      <c r="I39" s="94"/>
    </row>
    <row r="40" spans="2:13" ht="12.75">
      <c r="B40" s="88" t="s">
        <v>25</v>
      </c>
      <c r="C40" s="95">
        <f>ROUNDUP((C10*Standards!$L$13)*Standards!$F$40*(1+Standards!$F$41),0)</f>
        <v>61</v>
      </c>
      <c r="D40" s="95">
        <f>ROUNDUP((D10*Standards!$L$13)*Standards!$F$40*(1+Standards!$F$41),0)</f>
        <v>77</v>
      </c>
      <c r="E40" s="95">
        <f>ROUNDUP((E10*Standards!$L$13)*Standards!$F$40*(1+Standards!$F$41),0)</f>
        <v>97</v>
      </c>
      <c r="F40" s="95">
        <f>ROUNDUP((F10*Standards!$L$13)*Standards!$F$40*(1+Standards!$F$41),0)</f>
        <v>122</v>
      </c>
      <c r="G40" s="95">
        <f>ROUNDUP((G10*Standards!$L$13)*Standards!$F$40*(1+Standards!$F$41),0)</f>
        <v>153</v>
      </c>
      <c r="H40" s="95">
        <f>ROUNDUP((H10*Standards!$L$13)*Standards!$F$40*(1+Standards!$F$41),0)</f>
        <v>193</v>
      </c>
      <c r="I40" s="95">
        <f>ROUNDUP((I10*Standards!$L$13)*Standards!$F$40*(1+Standards!$F$41),0)</f>
        <v>242</v>
      </c>
      <c r="L40" s="88">
        <v>193</v>
      </c>
      <c r="M40" s="88">
        <f>L40*0.3</f>
        <v>57.9</v>
      </c>
    </row>
    <row r="41" spans="2:9" ht="12.75">
      <c r="B41" s="88" t="s">
        <v>26</v>
      </c>
      <c r="C41" s="95">
        <f>C40</f>
        <v>61</v>
      </c>
      <c r="D41" s="95">
        <f aca="true" t="shared" si="13" ref="D41:I41">D40-C40</f>
        <v>16</v>
      </c>
      <c r="E41" s="95">
        <f t="shared" si="13"/>
        <v>20</v>
      </c>
      <c r="F41" s="95">
        <f t="shared" si="13"/>
        <v>25</v>
      </c>
      <c r="G41" s="95">
        <f t="shared" si="13"/>
        <v>31</v>
      </c>
      <c r="H41" s="95">
        <f t="shared" si="13"/>
        <v>40</v>
      </c>
      <c r="I41" s="95">
        <f t="shared" si="13"/>
        <v>49</v>
      </c>
    </row>
    <row r="42" spans="2:9" ht="12.75">
      <c r="B42" s="88" t="s">
        <v>22</v>
      </c>
      <c r="D42" s="95"/>
      <c r="E42" s="95">
        <f>C43</f>
        <v>61</v>
      </c>
      <c r="F42" s="95">
        <f>D43</f>
        <v>16</v>
      </c>
      <c r="G42" s="95">
        <f>E43</f>
        <v>81</v>
      </c>
      <c r="H42" s="95">
        <f>F43</f>
        <v>41</v>
      </c>
      <c r="I42" s="95">
        <f>G43</f>
        <v>112</v>
      </c>
    </row>
    <row r="43" spans="2:10" ht="12.75">
      <c r="B43" s="88" t="s">
        <v>27</v>
      </c>
      <c r="C43" s="95">
        <f aca="true" t="shared" si="14" ref="C43:I43">SUM(C41:C42)</f>
        <v>61</v>
      </c>
      <c r="D43" s="95">
        <f t="shared" si="14"/>
        <v>16</v>
      </c>
      <c r="E43" s="95">
        <f t="shared" si="14"/>
        <v>81</v>
      </c>
      <c r="F43" s="95">
        <f t="shared" si="14"/>
        <v>41</v>
      </c>
      <c r="G43" s="95">
        <f t="shared" si="14"/>
        <v>112</v>
      </c>
      <c r="H43" s="95">
        <f t="shared" si="14"/>
        <v>81</v>
      </c>
      <c r="I43" s="95">
        <f t="shared" si="14"/>
        <v>161</v>
      </c>
      <c r="J43" s="95"/>
    </row>
    <row r="45" spans="1:9" ht="12.75">
      <c r="A45" s="94">
        <v>6</v>
      </c>
      <c r="B45" s="94" t="s">
        <v>257</v>
      </c>
      <c r="C45" s="94"/>
      <c r="D45" s="94"/>
      <c r="E45" s="94"/>
      <c r="F45" s="94"/>
      <c r="G45" s="94"/>
      <c r="H45" s="94"/>
      <c r="I45" s="94"/>
    </row>
    <row r="46" spans="2:9" ht="12.75">
      <c r="B46" s="88" t="s">
        <v>25</v>
      </c>
      <c r="C46" s="95">
        <f>ROUNDUP(C40*Standards!$F$49*(1+Standards!$F$50),0)</f>
        <v>4</v>
      </c>
      <c r="D46" s="95">
        <f>ROUNDUP(D40*Standards!$F$49*(1+Standards!$F$50),0)</f>
        <v>5</v>
      </c>
      <c r="E46" s="95">
        <f>ROUNDUP(E40*Standards!$F$49*(1+Standards!$F$50),0)</f>
        <v>7</v>
      </c>
      <c r="F46" s="95">
        <f>ROUNDUP(F40*Standards!$F$49*(1+Standards!$F$50),0)</f>
        <v>8</v>
      </c>
      <c r="G46" s="95">
        <f>ROUNDUP(G40*Standards!$F$49*(1+Standards!$F$50),0)</f>
        <v>10</v>
      </c>
      <c r="H46" s="95">
        <f>ROUNDUP(H40*Standards!$F$49*(1+Standards!$F$50),0)</f>
        <v>13</v>
      </c>
      <c r="I46" s="95">
        <f>ROUNDUP(I40*Standards!$F$49*(1+Standards!$F$50),0)</f>
        <v>16</v>
      </c>
    </row>
    <row r="47" spans="2:9" ht="12.75">
      <c r="B47" s="88" t="s">
        <v>26</v>
      </c>
      <c r="C47" s="95">
        <f>C46</f>
        <v>4</v>
      </c>
      <c r="D47" s="95">
        <f aca="true" t="shared" si="15" ref="D47:I47">D46-C46</f>
        <v>1</v>
      </c>
      <c r="E47" s="95">
        <f t="shared" si="15"/>
        <v>2</v>
      </c>
      <c r="F47" s="95">
        <f t="shared" si="15"/>
        <v>1</v>
      </c>
      <c r="G47" s="95">
        <f t="shared" si="15"/>
        <v>2</v>
      </c>
      <c r="H47" s="95">
        <f t="shared" si="15"/>
        <v>3</v>
      </c>
      <c r="I47" s="95">
        <f t="shared" si="15"/>
        <v>3</v>
      </c>
    </row>
    <row r="48" spans="2:9" ht="12.75">
      <c r="B48" s="88" t="s">
        <v>22</v>
      </c>
      <c r="D48" s="95"/>
      <c r="E48" s="95"/>
      <c r="F48" s="95">
        <f>C49</f>
        <v>4</v>
      </c>
      <c r="G48" s="95">
        <f>D49</f>
        <v>1</v>
      </c>
      <c r="H48" s="95">
        <f>E49</f>
        <v>2</v>
      </c>
      <c r="I48" s="95">
        <f>F49</f>
        <v>5</v>
      </c>
    </row>
    <row r="49" spans="2:10" ht="12.75">
      <c r="B49" s="88" t="s">
        <v>27</v>
      </c>
      <c r="C49" s="95">
        <f aca="true" t="shared" si="16" ref="C49:I49">SUM(C47:C48)</f>
        <v>4</v>
      </c>
      <c r="D49" s="95">
        <f t="shared" si="16"/>
        <v>1</v>
      </c>
      <c r="E49" s="95">
        <f t="shared" si="16"/>
        <v>2</v>
      </c>
      <c r="F49" s="95">
        <f t="shared" si="16"/>
        <v>5</v>
      </c>
      <c r="G49" s="95">
        <f t="shared" si="16"/>
        <v>3</v>
      </c>
      <c r="H49" s="95">
        <f t="shared" si="16"/>
        <v>5</v>
      </c>
      <c r="I49" s="95">
        <f t="shared" si="16"/>
        <v>8</v>
      </c>
      <c r="J49" s="95"/>
    </row>
    <row r="50" ht="12.75">
      <c r="B50" s="93"/>
    </row>
    <row r="51" spans="1:9" ht="12.75">
      <c r="A51" s="94">
        <v>5</v>
      </c>
      <c r="B51" s="94" t="s">
        <v>258</v>
      </c>
      <c r="C51" s="94"/>
      <c r="D51" s="94"/>
      <c r="E51" s="94"/>
      <c r="F51" s="94"/>
      <c r="G51" s="94"/>
      <c r="H51" s="94"/>
      <c r="I51" s="94"/>
    </row>
    <row r="52" spans="2:9" ht="12.75">
      <c r="B52" s="88" t="s">
        <v>25</v>
      </c>
      <c r="C52" s="95">
        <f>ROUNDUP((C10*Standards!$L$14)*Standards!$F$59*(1+Standards!$F$60),0)</f>
        <v>61</v>
      </c>
      <c r="D52" s="95">
        <f>ROUNDUP((D10*Standards!$L$14)*Standards!$F$59*(1+Standards!$F$60),0)</f>
        <v>77</v>
      </c>
      <c r="E52" s="95">
        <f>ROUNDUP((E10*Standards!$L$14)*Standards!$F$59*(1+Standards!$F$60),0)</f>
        <v>97</v>
      </c>
      <c r="F52" s="95">
        <f>ROUNDUP((F10*Standards!$L$14)*Standards!$F$59*(1+Standards!$F$60),0)</f>
        <v>122</v>
      </c>
      <c r="G52" s="95">
        <f>ROUNDUP((G10*Standards!$L$14)*Standards!$F$59*(1+Standards!$F$60),0)</f>
        <v>153</v>
      </c>
      <c r="H52" s="95">
        <f>ROUNDUP((H10*Standards!$L$14)*Standards!$F$59*(1+Standards!$F$60),0)</f>
        <v>193</v>
      </c>
      <c r="I52" s="95">
        <f>ROUNDUP((I10*Standards!$L$14)*Standards!$F$59*(1+Standards!$F$60),0)</f>
        <v>242</v>
      </c>
    </row>
    <row r="53" spans="2:9" ht="12.75">
      <c r="B53" s="88" t="s">
        <v>26</v>
      </c>
      <c r="C53" s="95">
        <f>C52</f>
        <v>61</v>
      </c>
      <c r="D53" s="95">
        <f aca="true" t="shared" si="17" ref="D53:I53">D52-C52</f>
        <v>16</v>
      </c>
      <c r="E53" s="95">
        <f t="shared" si="17"/>
        <v>20</v>
      </c>
      <c r="F53" s="95">
        <f t="shared" si="17"/>
        <v>25</v>
      </c>
      <c r="G53" s="95">
        <f t="shared" si="17"/>
        <v>31</v>
      </c>
      <c r="H53" s="95">
        <f t="shared" si="17"/>
        <v>40</v>
      </c>
      <c r="I53" s="95">
        <f t="shared" si="17"/>
        <v>49</v>
      </c>
    </row>
    <row r="54" spans="2:9" ht="12.75">
      <c r="B54" s="88" t="s">
        <v>22</v>
      </c>
      <c r="D54" s="95"/>
      <c r="E54" s="95">
        <f>C55</f>
        <v>61</v>
      </c>
      <c r="F54" s="95">
        <f>D55</f>
        <v>16</v>
      </c>
      <c r="G54" s="95">
        <f>E55</f>
        <v>81</v>
      </c>
      <c r="H54" s="95">
        <f>F55</f>
        <v>41</v>
      </c>
      <c r="I54" s="95">
        <f>G55</f>
        <v>112</v>
      </c>
    </row>
    <row r="55" spans="2:9" ht="12.75">
      <c r="B55" s="88" t="s">
        <v>27</v>
      </c>
      <c r="C55" s="95">
        <f aca="true" t="shared" si="18" ref="C55:I55">SUM(C53:C54)</f>
        <v>61</v>
      </c>
      <c r="D55" s="95">
        <f t="shared" si="18"/>
        <v>16</v>
      </c>
      <c r="E55" s="95">
        <f t="shared" si="18"/>
        <v>81</v>
      </c>
      <c r="F55" s="95">
        <f t="shared" si="18"/>
        <v>41</v>
      </c>
      <c r="G55" s="95">
        <f t="shared" si="18"/>
        <v>112</v>
      </c>
      <c r="H55" s="95">
        <f t="shared" si="18"/>
        <v>81</v>
      </c>
      <c r="I55" s="95">
        <f t="shared" si="18"/>
        <v>161</v>
      </c>
    </row>
    <row r="57" spans="1:9" ht="12.75">
      <c r="A57" s="94">
        <v>6</v>
      </c>
      <c r="B57" s="94" t="s">
        <v>259</v>
      </c>
      <c r="C57" s="94"/>
      <c r="D57" s="94"/>
      <c r="E57" s="94"/>
      <c r="F57" s="94"/>
      <c r="G57" s="94"/>
      <c r="H57" s="94"/>
      <c r="I57" s="94"/>
    </row>
    <row r="58" spans="2:9" ht="12.75">
      <c r="B58" s="88" t="s">
        <v>25</v>
      </c>
      <c r="C58" s="95">
        <f>ROUNDUP(C52*Standards!$F$68*(1+Standards!$F$69),0)</f>
        <v>4</v>
      </c>
      <c r="D58" s="95">
        <f>ROUNDUP(D52*Standards!$F$68*(1+Standards!$F$69),0)</f>
        <v>5</v>
      </c>
      <c r="E58" s="95">
        <f>ROUNDUP(E52*Standards!$F$68*(1+Standards!$F$69),0)</f>
        <v>7</v>
      </c>
      <c r="F58" s="95">
        <f>ROUNDUP(F52*Standards!$F$68*(1+Standards!$F$69),0)</f>
        <v>8</v>
      </c>
      <c r="G58" s="95">
        <f>ROUNDUP(G52*Standards!$F$68*(1+Standards!$F$69),0)</f>
        <v>10</v>
      </c>
      <c r="H58" s="95">
        <f>ROUNDUP(H52*Standards!$F$68*(1+Standards!$F$69),0)</f>
        <v>13</v>
      </c>
      <c r="I58" s="95">
        <f>ROUNDUP(I52*Standards!$F$68*(1+Standards!$F$69),0)</f>
        <v>16</v>
      </c>
    </row>
    <row r="59" spans="2:9" ht="12.75">
      <c r="B59" s="88" t="s">
        <v>26</v>
      </c>
      <c r="C59" s="95">
        <f>C58</f>
        <v>4</v>
      </c>
      <c r="D59" s="95">
        <f aca="true" t="shared" si="19" ref="D59:I59">D58-C58</f>
        <v>1</v>
      </c>
      <c r="E59" s="95">
        <f t="shared" si="19"/>
        <v>2</v>
      </c>
      <c r="F59" s="95">
        <f t="shared" si="19"/>
        <v>1</v>
      </c>
      <c r="G59" s="95">
        <f t="shared" si="19"/>
        <v>2</v>
      </c>
      <c r="H59" s="95">
        <f t="shared" si="19"/>
        <v>3</v>
      </c>
      <c r="I59" s="95">
        <f t="shared" si="19"/>
        <v>3</v>
      </c>
    </row>
    <row r="60" spans="2:9" ht="12.75">
      <c r="B60" s="88" t="s">
        <v>22</v>
      </c>
      <c r="D60" s="95"/>
      <c r="E60" s="95"/>
      <c r="F60" s="95">
        <f>C61</f>
        <v>4</v>
      </c>
      <c r="G60" s="95">
        <f>D61</f>
        <v>1</v>
      </c>
      <c r="H60" s="95">
        <f>E61</f>
        <v>2</v>
      </c>
      <c r="I60" s="95">
        <f>F61</f>
        <v>5</v>
      </c>
    </row>
    <row r="61" spans="2:9" ht="12.75">
      <c r="B61" s="88" t="s">
        <v>27</v>
      </c>
      <c r="C61" s="95">
        <f aca="true" t="shared" si="20" ref="C61:I61">SUM(C59:C60)</f>
        <v>4</v>
      </c>
      <c r="D61" s="95">
        <f t="shared" si="20"/>
        <v>1</v>
      </c>
      <c r="E61" s="95">
        <f t="shared" si="20"/>
        <v>2</v>
      </c>
      <c r="F61" s="95">
        <f t="shared" si="20"/>
        <v>5</v>
      </c>
      <c r="G61" s="95">
        <f t="shared" si="20"/>
        <v>3</v>
      </c>
      <c r="H61" s="95">
        <f t="shared" si="20"/>
        <v>5</v>
      </c>
      <c r="I61" s="95">
        <f t="shared" si="20"/>
        <v>8</v>
      </c>
    </row>
    <row r="62" spans="3:9" ht="12.75">
      <c r="C62" s="95"/>
      <c r="D62" s="95"/>
      <c r="E62" s="95"/>
      <c r="F62" s="95"/>
      <c r="G62" s="95"/>
      <c r="H62" s="95"/>
      <c r="I62" s="95"/>
    </row>
    <row r="63" spans="1:9" ht="12.75">
      <c r="A63" s="94">
        <v>8</v>
      </c>
      <c r="B63" s="94" t="s">
        <v>70</v>
      </c>
      <c r="C63" s="94"/>
      <c r="D63" s="94"/>
      <c r="E63" s="94"/>
      <c r="F63" s="94"/>
      <c r="G63" s="94"/>
      <c r="H63" s="94"/>
      <c r="I63" s="94"/>
    </row>
    <row r="64" spans="2:9" ht="12.75">
      <c r="B64" s="88" t="s">
        <v>172</v>
      </c>
      <c r="C64" s="95">
        <f>ROUNDUP(C8*Standards!$F$78*(1+Standards!$F$83),0)</f>
        <v>356</v>
      </c>
      <c r="D64" s="95">
        <f>ROUNDUP(D8*Standards!$F$78*(1+Standards!$F$83),0)</f>
        <v>362</v>
      </c>
      <c r="E64" s="95">
        <f>ROUNDUP(E8*Standards!$F$78*(1+Standards!$F$83),0)</f>
        <v>369</v>
      </c>
      <c r="F64" s="95">
        <f>ROUNDUP(F8*Standards!$F$78*(1+Standards!$F$83),0)</f>
        <v>378</v>
      </c>
      <c r="G64" s="95">
        <f>ROUNDUP(G8*Standards!$F$78*(1+Standards!$F$83),0)</f>
        <v>389</v>
      </c>
      <c r="H64" s="95">
        <f>ROUNDUP(H8*Standards!$F$78*(1+Standards!$F$83),0)</f>
        <v>401</v>
      </c>
      <c r="I64" s="95">
        <f>ROUNDUP(I8*Standards!$F$78*(1+Standards!$F$83),0)</f>
        <v>415</v>
      </c>
    </row>
    <row r="65" spans="2:9" ht="12.75">
      <c r="B65" s="88" t="s">
        <v>173</v>
      </c>
      <c r="C65" s="95">
        <f>ROUNDUP(((((C6*Standards!$L$6)/Standards!$F$82)*2)*(1+Standards!$F$83)),0)</f>
        <v>28</v>
      </c>
      <c r="D65" s="95">
        <f>ROUNDUP(((((D6*Standards!$L$6)/Standards!$F$82)*2)*(1+Standards!$F$83)),0)</f>
        <v>33</v>
      </c>
      <c r="E65" s="95">
        <f>ROUNDUP(((((E6*Standards!$L$6)/Standards!$F$82)*2)*(1+Standards!$F$83)),0)</f>
        <v>38</v>
      </c>
      <c r="F65" s="95">
        <f>ROUNDUP(((((F6*Standards!$L$6)/Standards!$F$82)*2)*(1+Standards!$F$83)),0)</f>
        <v>45</v>
      </c>
      <c r="G65" s="95">
        <f>ROUNDUP(((((G6*Standards!$L$6)/Standards!$F$82)*2)*(1+Standards!$F$83)),0)</f>
        <v>53</v>
      </c>
      <c r="H65" s="95">
        <f>ROUNDUP(((((H6*Standards!$L$6)/Standards!$F$82)*2)*(1+Standards!$F$83)),0)</f>
        <v>62</v>
      </c>
      <c r="I65" s="95">
        <f>ROUNDUP(((((I6*Standards!$L$6)/Standards!$F$82)*2)*(1+Standards!$F$83)),0)</f>
        <v>72</v>
      </c>
    </row>
    <row r="66" spans="2:10" ht="12.75">
      <c r="B66" s="88" t="s">
        <v>174</v>
      </c>
      <c r="C66" s="95">
        <f>ROUNDUP((C6*Standards!$L$7/Standards!$F$81)*(1+Standards!$F$83),0)</f>
        <v>231</v>
      </c>
      <c r="D66" s="95">
        <f>ROUNDUP((D6*Standards!$L$7/Standards!$F$81)*(1+Standards!$F$83),0)</f>
        <v>271</v>
      </c>
      <c r="E66" s="95">
        <f>ROUNDUP((E6*Standards!$L$7/Standards!$F$81)*(1+Standards!$F$83),0)</f>
        <v>318</v>
      </c>
      <c r="F66" s="95">
        <f>ROUNDUP((F6*Standards!$L$7/Standards!$F$81)*(1+Standards!$F$83),0)</f>
        <v>373</v>
      </c>
      <c r="G66" s="95">
        <f>ROUNDUP((G6*Standards!$L$7/Standards!$F$81)*(1+Standards!$F$83),0)</f>
        <v>438</v>
      </c>
      <c r="H66" s="95">
        <f>ROUNDUP((H6*Standards!$L$7/Standards!$F$81)*(1+Standards!$F$83),0)</f>
        <v>514</v>
      </c>
      <c r="I66" s="95">
        <f>ROUNDUP((I6*Standards!$L$7/Standards!$F$81)*(1+Standards!$F$83),0)</f>
        <v>604</v>
      </c>
      <c r="J66" s="95">
        <f>ROUNDUP((J6*Standards!$L$7/Standards!$F$81)*(1+Standards!$F$83),0)</f>
        <v>0</v>
      </c>
    </row>
    <row r="67" spans="3:9" ht="12.75">
      <c r="C67" s="95"/>
      <c r="D67" s="95"/>
      <c r="E67" s="95"/>
      <c r="F67" s="95"/>
      <c r="G67" s="95"/>
      <c r="H67" s="95"/>
      <c r="I67" s="95"/>
    </row>
  </sheetData>
  <sheetProtection password="CA9C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83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2" width="3.7109375" style="88" customWidth="1"/>
    <col min="3" max="3" width="4.00390625" style="88" customWidth="1"/>
    <col min="4" max="4" width="17.57421875" style="88" customWidth="1"/>
    <col min="5" max="5" width="17.00390625" style="88" customWidth="1"/>
    <col min="6" max="8" width="9.140625" style="88" customWidth="1"/>
    <col min="9" max="9" width="2.8515625" style="88" customWidth="1"/>
    <col min="10" max="10" width="9.8515625" style="88" customWidth="1"/>
    <col min="11" max="11" width="11.28125" style="88" bestFit="1" customWidth="1"/>
    <col min="12" max="16384" width="9.140625" style="88" customWidth="1"/>
  </cols>
  <sheetData>
    <row r="2" ht="12.75">
      <c r="B2" s="88" t="s">
        <v>31</v>
      </c>
    </row>
    <row r="3" spans="3:9" ht="12.75">
      <c r="C3" s="88" t="s">
        <v>32</v>
      </c>
      <c r="I3" s="88" t="s">
        <v>66</v>
      </c>
    </row>
    <row r="4" spans="3:5" ht="12.75">
      <c r="C4" s="90"/>
      <c r="D4" s="90" t="s">
        <v>28</v>
      </c>
      <c r="E4" s="90"/>
    </row>
    <row r="5" spans="3:9" ht="12.75">
      <c r="C5" s="88">
        <v>1</v>
      </c>
      <c r="D5" s="88" t="s">
        <v>35</v>
      </c>
      <c r="I5" s="88" t="s">
        <v>19</v>
      </c>
    </row>
    <row r="6" spans="4:12" ht="12.75">
      <c r="D6" s="88" t="s">
        <v>33</v>
      </c>
      <c r="E6" s="88" t="s">
        <v>19</v>
      </c>
      <c r="J6" s="88" t="s">
        <v>62</v>
      </c>
      <c r="K6" s="88" t="s">
        <v>63</v>
      </c>
      <c r="L6" s="96">
        <f>'INPUT DATA'!L21</f>
        <v>0.3</v>
      </c>
    </row>
    <row r="7" spans="4:12" ht="12.75">
      <c r="D7" s="88" t="s">
        <v>30</v>
      </c>
      <c r="E7" s="88" t="s">
        <v>297</v>
      </c>
      <c r="J7" s="88" t="s">
        <v>64</v>
      </c>
      <c r="K7" s="88" t="s">
        <v>63</v>
      </c>
      <c r="L7" s="97">
        <f>'INPUT DATA'!L22</f>
        <v>0.7</v>
      </c>
    </row>
    <row r="8" spans="4:12" ht="12.75">
      <c r="D8" s="88" t="s">
        <v>30</v>
      </c>
      <c r="E8" s="98" t="s">
        <v>20</v>
      </c>
      <c r="F8" s="88">
        <v>250</v>
      </c>
      <c r="J8" s="88" t="s">
        <v>65</v>
      </c>
      <c r="L8" s="97">
        <v>1</v>
      </c>
    </row>
    <row r="9" spans="4:6" ht="12.75">
      <c r="D9" s="88" t="s">
        <v>21</v>
      </c>
      <c r="E9" s="98" t="s">
        <v>34</v>
      </c>
      <c r="F9" s="96">
        <v>0.1</v>
      </c>
    </row>
    <row r="10" spans="4:6" ht="12.75">
      <c r="D10" s="88" t="s">
        <v>23</v>
      </c>
      <c r="E10" s="98" t="s">
        <v>24</v>
      </c>
      <c r="F10" s="88">
        <v>5</v>
      </c>
    </row>
    <row r="11" spans="5:12" ht="12.75">
      <c r="E11" s="98"/>
      <c r="I11" s="88" t="s">
        <v>264</v>
      </c>
      <c r="L11" s="88" t="s">
        <v>268</v>
      </c>
    </row>
    <row r="12" spans="3:5" ht="12.75">
      <c r="C12" s="88">
        <v>2</v>
      </c>
      <c r="D12" s="88" t="s">
        <v>29</v>
      </c>
      <c r="E12" s="98"/>
    </row>
    <row r="13" spans="4:12" ht="12.75">
      <c r="D13" s="88" t="s">
        <v>33</v>
      </c>
      <c r="E13" s="88" t="s">
        <v>19</v>
      </c>
      <c r="J13" s="88" t="s">
        <v>265</v>
      </c>
      <c r="L13" s="96">
        <f>'INPUT DATA'!L19</f>
        <v>0.4</v>
      </c>
    </row>
    <row r="14" spans="4:12" ht="12.75">
      <c r="D14" s="88" t="s">
        <v>30</v>
      </c>
      <c r="E14" s="88" t="s">
        <v>298</v>
      </c>
      <c r="J14" s="88" t="s">
        <v>266</v>
      </c>
      <c r="L14" s="97">
        <f>'INPUT DATA'!L18</f>
        <v>0.6</v>
      </c>
    </row>
    <row r="15" spans="5:12" ht="12.75">
      <c r="E15" s="98" t="s">
        <v>20</v>
      </c>
      <c r="F15" s="99">
        <v>1800</v>
      </c>
      <c r="J15" s="88" t="s">
        <v>267</v>
      </c>
      <c r="L15" s="97">
        <f>SUM(L13:L14)</f>
        <v>1</v>
      </c>
    </row>
    <row r="16" spans="4:6" ht="12.75">
      <c r="D16" s="88" t="s">
        <v>21</v>
      </c>
      <c r="E16" s="98" t="s">
        <v>34</v>
      </c>
      <c r="F16" s="96">
        <v>0</v>
      </c>
    </row>
    <row r="17" spans="4:6" ht="12.75">
      <c r="D17" s="88" t="s">
        <v>23</v>
      </c>
      <c r="E17" s="98" t="s">
        <v>24</v>
      </c>
      <c r="F17" s="88">
        <v>15</v>
      </c>
    </row>
    <row r="19" spans="3:5" ht="12.75">
      <c r="C19" s="88">
        <v>3</v>
      </c>
      <c r="D19" s="88" t="s">
        <v>37</v>
      </c>
      <c r="E19" s="98"/>
    </row>
    <row r="20" ht="12.75">
      <c r="E20" s="88" t="s">
        <v>36</v>
      </c>
    </row>
    <row r="21" ht="12.75">
      <c r="D21" s="88" t="s">
        <v>30</v>
      </c>
    </row>
    <row r="22" spans="5:6" ht="12.75">
      <c r="E22" s="98" t="s">
        <v>251</v>
      </c>
      <c r="F22" s="99">
        <v>1</v>
      </c>
    </row>
    <row r="23" spans="4:6" ht="12.75">
      <c r="D23" s="88" t="s">
        <v>21</v>
      </c>
      <c r="E23" s="98" t="s">
        <v>34</v>
      </c>
      <c r="F23" s="96">
        <v>0.25</v>
      </c>
    </row>
    <row r="24" spans="4:6" ht="12.75">
      <c r="D24" s="88" t="s">
        <v>23</v>
      </c>
      <c r="E24" s="98" t="s">
        <v>24</v>
      </c>
      <c r="F24" s="88">
        <v>10</v>
      </c>
    </row>
    <row r="27" spans="3:5" ht="12.75">
      <c r="C27" s="88">
        <v>4</v>
      </c>
      <c r="D27" s="88" t="s">
        <v>38</v>
      </c>
      <c r="E27" s="88" t="s">
        <v>39</v>
      </c>
    </row>
    <row r="28" spans="4:5" ht="12.75">
      <c r="D28" s="88" t="s">
        <v>33</v>
      </c>
      <c r="E28" s="88" t="s">
        <v>40</v>
      </c>
    </row>
    <row r="29" spans="4:5" ht="12.75">
      <c r="D29" s="88" t="s">
        <v>30</v>
      </c>
      <c r="E29" s="98" t="s">
        <v>253</v>
      </c>
    </row>
    <row r="30" spans="5:6" ht="12.75">
      <c r="E30" s="88" t="s">
        <v>41</v>
      </c>
      <c r="F30" s="99">
        <v>20</v>
      </c>
    </row>
    <row r="31" spans="4:6" ht="12.75">
      <c r="D31" s="88" t="s">
        <v>21</v>
      </c>
      <c r="E31" s="98" t="s">
        <v>34</v>
      </c>
      <c r="F31" s="96">
        <v>0.25</v>
      </c>
    </row>
    <row r="32" spans="4:6" ht="12.75">
      <c r="D32" s="88" t="s">
        <v>23</v>
      </c>
      <c r="E32" s="98" t="s">
        <v>24</v>
      </c>
      <c r="F32" s="88">
        <v>5</v>
      </c>
    </row>
    <row r="35" ht="12.75">
      <c r="D35" s="88" t="s">
        <v>260</v>
      </c>
    </row>
    <row r="36" spans="4:5" ht="12.75">
      <c r="D36" s="88" t="s">
        <v>33</v>
      </c>
      <c r="E36" s="88" t="s">
        <v>42</v>
      </c>
    </row>
    <row r="37" spans="4:5" ht="12.75">
      <c r="D37" s="88" t="s">
        <v>50</v>
      </c>
      <c r="E37" s="88" t="s">
        <v>51</v>
      </c>
    </row>
    <row r="38" spans="4:6" ht="12.75">
      <c r="D38" s="88" t="s">
        <v>43</v>
      </c>
      <c r="E38" s="88" t="s">
        <v>44</v>
      </c>
      <c r="F38" s="88">
        <v>3</v>
      </c>
    </row>
    <row r="39" spans="4:6" ht="12.75">
      <c r="D39" s="88" t="s">
        <v>45</v>
      </c>
      <c r="E39" s="88" t="s">
        <v>46</v>
      </c>
      <c r="F39" s="88">
        <v>0.45</v>
      </c>
    </row>
    <row r="40" spans="4:6" ht="12.75">
      <c r="D40" s="88" t="s">
        <v>47</v>
      </c>
      <c r="E40" s="88" t="s">
        <v>48</v>
      </c>
      <c r="F40" s="88">
        <f>1/(F39*F38)</f>
        <v>0.7407407407407407</v>
      </c>
    </row>
    <row r="41" spans="4:6" ht="12.75">
      <c r="D41" s="88" t="s">
        <v>49</v>
      </c>
      <c r="F41" s="96">
        <v>0.5</v>
      </c>
    </row>
    <row r="42" spans="4:6" ht="12.75">
      <c r="D42" s="88" t="s">
        <v>23</v>
      </c>
      <c r="E42" s="88" t="s">
        <v>24</v>
      </c>
      <c r="F42" s="88">
        <v>10</v>
      </c>
    </row>
    <row r="45" ht="12.75">
      <c r="D45" s="88" t="s">
        <v>261</v>
      </c>
    </row>
    <row r="46" spans="4:5" ht="12.75">
      <c r="D46" s="88" t="s">
        <v>33</v>
      </c>
      <c r="E46" s="88" t="s">
        <v>52</v>
      </c>
    </row>
    <row r="47" spans="4:5" ht="12.75">
      <c r="D47" s="88" t="s">
        <v>50</v>
      </c>
      <c r="E47" s="88" t="s">
        <v>53</v>
      </c>
    </row>
    <row r="48" spans="4:5" ht="12.75">
      <c r="D48" s="88" t="s">
        <v>30</v>
      </c>
      <c r="E48" s="88" t="s">
        <v>54</v>
      </c>
    </row>
    <row r="49" spans="5:6" ht="12.75">
      <c r="E49" s="88" t="s">
        <v>55</v>
      </c>
      <c r="F49" s="88">
        <f>1/16</f>
        <v>0.0625</v>
      </c>
    </row>
    <row r="50" spans="4:6" ht="12.75">
      <c r="D50" s="88" t="s">
        <v>49</v>
      </c>
      <c r="F50" s="96">
        <v>0</v>
      </c>
    </row>
    <row r="51" spans="4:6" ht="12.75">
      <c r="D51" s="88" t="s">
        <v>23</v>
      </c>
      <c r="E51" s="88" t="s">
        <v>24</v>
      </c>
      <c r="F51" s="88">
        <v>15</v>
      </c>
    </row>
    <row r="54" spans="4:7" ht="12.75">
      <c r="D54" s="187" t="s">
        <v>262</v>
      </c>
      <c r="E54" s="187"/>
      <c r="F54" s="187"/>
      <c r="G54" s="187"/>
    </row>
    <row r="55" spans="4:7" ht="12.75">
      <c r="D55" s="187" t="s">
        <v>33</v>
      </c>
      <c r="E55" s="187" t="s">
        <v>42</v>
      </c>
      <c r="F55" s="187"/>
      <c r="G55" s="187"/>
    </row>
    <row r="56" spans="4:7" ht="12.75">
      <c r="D56" s="187" t="s">
        <v>50</v>
      </c>
      <c r="E56" s="187" t="s">
        <v>51</v>
      </c>
      <c r="F56" s="187"/>
      <c r="G56" s="187"/>
    </row>
    <row r="57" spans="4:7" ht="12.75">
      <c r="D57" s="187" t="s">
        <v>43</v>
      </c>
      <c r="E57" s="187" t="s">
        <v>44</v>
      </c>
      <c r="F57" s="187">
        <v>4.5</v>
      </c>
      <c r="G57" s="187"/>
    </row>
    <row r="58" spans="4:7" ht="12.75">
      <c r="D58" s="187" t="s">
        <v>45</v>
      </c>
      <c r="E58" s="187" t="s">
        <v>46</v>
      </c>
      <c r="F58" s="187">
        <v>0.45</v>
      </c>
      <c r="G58" s="187"/>
    </row>
    <row r="59" spans="4:7" ht="12.75">
      <c r="D59" s="187" t="s">
        <v>47</v>
      </c>
      <c r="E59" s="187" t="s">
        <v>48</v>
      </c>
      <c r="F59" s="187">
        <f>1/(F58*F57)</f>
        <v>0.4938271604938272</v>
      </c>
      <c r="G59" s="187"/>
    </row>
    <row r="60" spans="4:7" ht="12.75">
      <c r="D60" s="187" t="s">
        <v>49</v>
      </c>
      <c r="E60" s="187"/>
      <c r="F60" s="188">
        <v>0.5</v>
      </c>
      <c r="G60" s="187"/>
    </row>
    <row r="61" spans="4:7" ht="12.75">
      <c r="D61" s="187" t="s">
        <v>23</v>
      </c>
      <c r="E61" s="187" t="s">
        <v>24</v>
      </c>
      <c r="F61" s="187">
        <v>10</v>
      </c>
      <c r="G61" s="187"/>
    </row>
    <row r="62" spans="4:7" ht="12.75">
      <c r="D62" s="187"/>
      <c r="E62" s="187"/>
      <c r="F62" s="187"/>
      <c r="G62" s="187"/>
    </row>
    <row r="63" spans="4:7" ht="12.75">
      <c r="D63" s="187"/>
      <c r="E63" s="187"/>
      <c r="F63" s="187"/>
      <c r="G63" s="187"/>
    </row>
    <row r="64" spans="4:7" ht="12.75">
      <c r="D64" s="187" t="s">
        <v>263</v>
      </c>
      <c r="E64" s="187"/>
      <c r="F64" s="187"/>
      <c r="G64" s="187"/>
    </row>
    <row r="65" spans="4:7" ht="12.75">
      <c r="D65" s="187" t="s">
        <v>33</v>
      </c>
      <c r="E65" s="187" t="s">
        <v>52</v>
      </c>
      <c r="F65" s="187"/>
      <c r="G65" s="187"/>
    </row>
    <row r="66" spans="4:7" ht="12.75">
      <c r="D66" s="187" t="s">
        <v>50</v>
      </c>
      <c r="E66" s="187" t="s">
        <v>53</v>
      </c>
      <c r="F66" s="187"/>
      <c r="G66" s="187"/>
    </row>
    <row r="67" spans="4:7" ht="12.75">
      <c r="D67" s="187" t="s">
        <v>30</v>
      </c>
      <c r="E67" s="187" t="s">
        <v>54</v>
      </c>
      <c r="F67" s="187"/>
      <c r="G67" s="187"/>
    </row>
    <row r="68" spans="4:7" ht="12.75">
      <c r="D68" s="187"/>
      <c r="E68" s="187" t="s">
        <v>55</v>
      </c>
      <c r="F68" s="187">
        <f>1/16</f>
        <v>0.0625</v>
      </c>
      <c r="G68" s="187"/>
    </row>
    <row r="69" spans="4:7" ht="12.75">
      <c r="D69" s="187" t="s">
        <v>49</v>
      </c>
      <c r="E69" s="187"/>
      <c r="F69" s="188">
        <v>0</v>
      </c>
      <c r="G69" s="187"/>
    </row>
    <row r="70" spans="4:7" ht="12.75">
      <c r="D70" s="187" t="s">
        <v>23</v>
      </c>
      <c r="E70" s="187" t="s">
        <v>24</v>
      </c>
      <c r="F70" s="187">
        <v>15</v>
      </c>
      <c r="G70" s="187"/>
    </row>
    <row r="71" spans="4:7" ht="12.75">
      <c r="D71" s="187"/>
      <c r="E71" s="187"/>
      <c r="F71" s="187"/>
      <c r="G71" s="187"/>
    </row>
    <row r="73" spans="4:6" ht="12.75">
      <c r="D73" s="90" t="s">
        <v>56</v>
      </c>
      <c r="E73" s="88" t="s">
        <v>33</v>
      </c>
      <c r="F73" s="88" t="s">
        <v>177</v>
      </c>
    </row>
    <row r="74" spans="4:6" ht="12.75">
      <c r="D74" s="88" t="s">
        <v>175</v>
      </c>
      <c r="E74" s="88" t="s">
        <v>178</v>
      </c>
      <c r="F74" s="88">
        <v>1</v>
      </c>
    </row>
    <row r="75" spans="4:6" ht="12.75">
      <c r="D75" s="88" t="s">
        <v>176</v>
      </c>
      <c r="E75" s="88" t="s">
        <v>179</v>
      </c>
      <c r="F75" s="88">
        <v>1</v>
      </c>
    </row>
    <row r="76" spans="4:6" ht="12.75">
      <c r="D76" s="88" t="s">
        <v>23</v>
      </c>
      <c r="E76" s="88" t="s">
        <v>58</v>
      </c>
      <c r="F76" s="88">
        <v>25</v>
      </c>
    </row>
    <row r="78" spans="4:6" ht="12.75">
      <c r="D78" s="88" t="s">
        <v>246</v>
      </c>
      <c r="E78" s="88" t="s">
        <v>247</v>
      </c>
      <c r="F78" s="88">
        <v>1</v>
      </c>
    </row>
    <row r="79" ht="12.75">
      <c r="D79" s="88" t="s">
        <v>245</v>
      </c>
    </row>
    <row r="80" ht="12.75">
      <c r="D80" s="88" t="s">
        <v>59</v>
      </c>
    </row>
    <row r="81" spans="4:6" ht="12.75">
      <c r="D81" s="98" t="s">
        <v>61</v>
      </c>
      <c r="E81" s="88" t="s">
        <v>269</v>
      </c>
      <c r="F81" s="88">
        <f>F8</f>
        <v>250</v>
      </c>
    </row>
    <row r="82" spans="4:6" ht="12.75">
      <c r="D82" s="98" t="s">
        <v>60</v>
      </c>
      <c r="E82" s="88" t="s">
        <v>270</v>
      </c>
      <c r="F82" s="99">
        <f>F15</f>
        <v>1800</v>
      </c>
    </row>
    <row r="83" spans="4:6" ht="12.75">
      <c r="D83" s="88" t="s">
        <v>71</v>
      </c>
      <c r="F83" s="96">
        <v>0.17</v>
      </c>
    </row>
  </sheetData>
  <sheetProtection password="CA9C" sheet="1" object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1"/>
  <sheetViews>
    <sheetView zoomScalePageLayoutView="0" workbookViewId="0" topLeftCell="A3">
      <selection activeCell="A57" sqref="A57"/>
    </sheetView>
  </sheetViews>
  <sheetFormatPr defaultColWidth="9.140625" defaultRowHeight="12.75"/>
  <cols>
    <col min="1" max="1" width="4.140625" style="107" customWidth="1"/>
    <col min="2" max="2" width="44.8515625" style="68" bestFit="1" customWidth="1"/>
    <col min="3" max="3" width="12.421875" style="68" bestFit="1" customWidth="1"/>
    <col min="4" max="4" width="12.8515625" style="68" bestFit="1" customWidth="1"/>
    <col min="5" max="5" width="9.140625" style="68" customWidth="1"/>
    <col min="6" max="6" width="9.8515625" style="68" bestFit="1" customWidth="1"/>
    <col min="7" max="8" width="11.140625" style="68" bestFit="1" customWidth="1"/>
    <col min="9" max="16384" width="9.140625" style="68" customWidth="1"/>
  </cols>
  <sheetData>
    <row r="2" spans="1:5" ht="13.5">
      <c r="A2" s="100"/>
      <c r="B2" s="101" t="s">
        <v>112</v>
      </c>
      <c r="C2" s="101"/>
      <c r="D2" s="101"/>
      <c r="E2" s="102"/>
    </row>
    <row r="3" spans="1:5" s="73" customFormat="1" ht="13.5">
      <c r="A3" s="103"/>
      <c r="B3" s="104"/>
      <c r="C3" s="104"/>
      <c r="D3" s="104"/>
      <c r="E3" s="105"/>
    </row>
    <row r="4" spans="1:5" ht="13.5">
      <c r="A4" s="106" t="s">
        <v>114</v>
      </c>
      <c r="B4" s="102" t="s">
        <v>113</v>
      </c>
      <c r="C4" s="102" t="s">
        <v>271</v>
      </c>
      <c r="D4" s="102" t="s">
        <v>272</v>
      </c>
      <c r="E4" s="102"/>
    </row>
    <row r="5" spans="1:8" ht="13.5">
      <c r="A5" s="107">
        <v>1</v>
      </c>
      <c r="B5" s="108" t="s">
        <v>103</v>
      </c>
      <c r="C5" s="109">
        <f>Waste_Projection!D6</f>
        <v>136.52173674715223</v>
      </c>
      <c r="D5" s="109">
        <f>Waste_Projection!D6</f>
        <v>136.52173674715223</v>
      </c>
      <c r="E5" s="108" t="s">
        <v>74</v>
      </c>
      <c r="F5" s="110"/>
      <c r="G5" s="110"/>
      <c r="H5" s="110"/>
    </row>
    <row r="6" spans="1:8" ht="13.5">
      <c r="A6" s="107">
        <v>2</v>
      </c>
      <c r="B6" s="108" t="s">
        <v>254</v>
      </c>
      <c r="C6" s="109">
        <f>Waste_Projection!D10</f>
        <v>343.1812148418069</v>
      </c>
      <c r="D6" s="109">
        <f>Waste_Projection!D12</f>
        <v>544.1070570008159</v>
      </c>
      <c r="E6" s="108" t="s">
        <v>74</v>
      </c>
      <c r="F6" s="110"/>
      <c r="G6" s="110"/>
      <c r="H6" s="110"/>
    </row>
    <row r="7" spans="1:8" ht="13.5">
      <c r="A7" s="107">
        <v>3</v>
      </c>
      <c r="B7" s="108" t="s">
        <v>108</v>
      </c>
      <c r="C7" s="111">
        <f>'INPUT DATA'!$E$20</f>
        <v>0.56</v>
      </c>
      <c r="D7" s="111">
        <f>'INPUT DATA'!$E$20</f>
        <v>0.56</v>
      </c>
      <c r="E7" s="108"/>
      <c r="H7" s="110"/>
    </row>
    <row r="8" spans="1:8" ht="13.5">
      <c r="A8" s="107">
        <v>4</v>
      </c>
      <c r="B8" s="108" t="s">
        <v>107</v>
      </c>
      <c r="C8" s="111">
        <f>'INPUT DATA'!$E$21</f>
        <v>0.2</v>
      </c>
      <c r="D8" s="111">
        <f>'INPUT DATA'!$E$21</f>
        <v>0.2</v>
      </c>
      <c r="E8" s="108"/>
      <c r="H8" s="110"/>
    </row>
    <row r="9" spans="1:8" ht="13.5">
      <c r="A9" s="107">
        <v>5</v>
      </c>
      <c r="B9" s="108" t="s">
        <v>109</v>
      </c>
      <c r="C9" s="111">
        <f>'INPUT DATA'!$E$22</f>
        <v>0.23999999999999994</v>
      </c>
      <c r="D9" s="111">
        <f>'INPUT DATA'!$E$22</f>
        <v>0.23999999999999994</v>
      </c>
      <c r="E9" s="108"/>
      <c r="H9" s="110"/>
    </row>
    <row r="10" spans="2:8" ht="13.5">
      <c r="B10" s="108"/>
      <c r="C10" s="111"/>
      <c r="D10" s="111"/>
      <c r="E10" s="108"/>
      <c r="H10" s="110"/>
    </row>
    <row r="11" spans="1:5" ht="13.5">
      <c r="A11" s="107" t="s">
        <v>115</v>
      </c>
      <c r="B11" s="112" t="s">
        <v>75</v>
      </c>
      <c r="C11" s="105"/>
      <c r="D11" s="105"/>
      <c r="E11" s="108"/>
    </row>
    <row r="12" spans="2:5" ht="13.5">
      <c r="B12" s="113" t="s">
        <v>186</v>
      </c>
      <c r="C12" s="105"/>
      <c r="D12" s="105"/>
      <c r="E12" s="108"/>
    </row>
    <row r="13" spans="1:5" ht="13.5">
      <c r="A13" s="107">
        <v>1</v>
      </c>
      <c r="B13" s="108" t="s">
        <v>170</v>
      </c>
      <c r="C13" s="105">
        <v>20</v>
      </c>
      <c r="D13" s="105">
        <v>30</v>
      </c>
      <c r="E13" s="108" t="s">
        <v>58</v>
      </c>
    </row>
    <row r="14" spans="1:7" ht="13.5">
      <c r="A14" s="107">
        <v>2</v>
      </c>
      <c r="B14" s="108" t="s">
        <v>76</v>
      </c>
      <c r="C14" s="114">
        <f>C7*C6</f>
        <v>192.18148031141186</v>
      </c>
      <c r="D14" s="114">
        <f>D7*D6</f>
        <v>304.6999519204569</v>
      </c>
      <c r="E14" s="108" t="s">
        <v>74</v>
      </c>
      <c r="F14" s="186"/>
      <c r="G14" s="110"/>
    </row>
    <row r="15" spans="1:5" ht="13.5">
      <c r="A15" s="107">
        <v>3</v>
      </c>
      <c r="B15" s="108" t="s">
        <v>255</v>
      </c>
      <c r="C15" s="105">
        <f>5*2*2.5/2</f>
        <v>12.5</v>
      </c>
      <c r="D15" s="105">
        <f>5*2*2.5/2</f>
        <v>12.5</v>
      </c>
      <c r="E15" s="108" t="s">
        <v>77</v>
      </c>
    </row>
    <row r="16" spans="1:5" ht="13.5">
      <c r="A16" s="107">
        <v>4</v>
      </c>
      <c r="B16" s="108" t="s">
        <v>104</v>
      </c>
      <c r="C16" s="105">
        <f>5*2</f>
        <v>10</v>
      </c>
      <c r="D16" s="105">
        <f>5*2</f>
        <v>10</v>
      </c>
      <c r="E16" s="108" t="s">
        <v>105</v>
      </c>
    </row>
    <row r="17" spans="1:5" ht="13.5">
      <c r="A17" s="107">
        <v>5</v>
      </c>
      <c r="B17" s="108" t="s">
        <v>78</v>
      </c>
      <c r="C17" s="105">
        <v>0.5</v>
      </c>
      <c r="D17" s="105">
        <v>0.5</v>
      </c>
      <c r="E17" s="108" t="s">
        <v>79</v>
      </c>
    </row>
    <row r="18" spans="1:5" ht="13.5">
      <c r="A18" s="107">
        <v>6</v>
      </c>
      <c r="B18" s="108" t="s">
        <v>80</v>
      </c>
      <c r="C18" s="105">
        <f>C17*C15</f>
        <v>6.25</v>
      </c>
      <c r="D18" s="105">
        <f>D17*D15</f>
        <v>6.25</v>
      </c>
      <c r="E18" s="108" t="s">
        <v>81</v>
      </c>
    </row>
    <row r="19" spans="1:5" ht="13.5">
      <c r="A19" s="107">
        <v>7</v>
      </c>
      <c r="B19" s="108" t="s">
        <v>82</v>
      </c>
      <c r="C19" s="115">
        <f>ROUNDUP(C14/C18,0)</f>
        <v>31</v>
      </c>
      <c r="D19" s="115">
        <f>ROUNDUP(D14/D18,0)</f>
        <v>49</v>
      </c>
      <c r="E19" s="108" t="s">
        <v>57</v>
      </c>
    </row>
    <row r="20" spans="1:5" ht="13.5">
      <c r="A20" s="107">
        <v>8</v>
      </c>
      <c r="B20" s="108" t="s">
        <v>83</v>
      </c>
      <c r="C20" s="109">
        <f>C16*3</f>
        <v>30</v>
      </c>
      <c r="D20" s="109">
        <f>D16*3</f>
        <v>30</v>
      </c>
      <c r="E20" s="108" t="s">
        <v>105</v>
      </c>
    </row>
    <row r="21" spans="1:5" ht="13.5">
      <c r="A21" s="107">
        <v>9</v>
      </c>
      <c r="B21" s="108" t="s">
        <v>85</v>
      </c>
      <c r="C21" s="117">
        <f>ROUNDUP(C19*C20,0)</f>
        <v>930</v>
      </c>
      <c r="D21" s="117">
        <f>ROUNDUP(D19*D20,0)</f>
        <v>1470</v>
      </c>
      <c r="E21" s="108" t="s">
        <v>84</v>
      </c>
    </row>
    <row r="22" spans="1:5" ht="13.5">
      <c r="A22" s="107">
        <v>10</v>
      </c>
      <c r="B22" s="108" t="s">
        <v>86</v>
      </c>
      <c r="C22" s="105">
        <v>21</v>
      </c>
      <c r="D22" s="105">
        <v>21</v>
      </c>
      <c r="E22" s="108" t="s">
        <v>87</v>
      </c>
    </row>
    <row r="23" spans="1:5" ht="13.5">
      <c r="A23" s="107">
        <v>11</v>
      </c>
      <c r="B23" s="108" t="s">
        <v>88</v>
      </c>
      <c r="C23" s="117">
        <f>C21*C22</f>
        <v>19530</v>
      </c>
      <c r="D23" s="117">
        <f>D21*D22</f>
        <v>30870</v>
      </c>
      <c r="E23" s="108" t="s">
        <v>84</v>
      </c>
    </row>
    <row r="24" spans="1:5" ht="13.5">
      <c r="A24" s="107">
        <v>12</v>
      </c>
      <c r="B24" s="108" t="s">
        <v>106</v>
      </c>
      <c r="C24" s="118">
        <f>C23*50%</f>
        <v>9765</v>
      </c>
      <c r="D24" s="118">
        <f>D23*50%</f>
        <v>15435</v>
      </c>
      <c r="E24" s="108" t="s">
        <v>84</v>
      </c>
    </row>
    <row r="25" spans="2:5" ht="13.5">
      <c r="B25" s="108"/>
      <c r="C25" s="118">
        <f>SUM(C23:C24)</f>
        <v>29295</v>
      </c>
      <c r="D25" s="118">
        <f>SUM(D23:D24)</f>
        <v>46305</v>
      </c>
      <c r="E25" s="108" t="s">
        <v>84</v>
      </c>
    </row>
    <row r="26" spans="2:5" ht="13.5">
      <c r="B26" s="108"/>
      <c r="C26" s="118">
        <f>IF((C25/10^4)&lt;1.5,1.5,(C25/10^4))</f>
        <v>2.9295</v>
      </c>
      <c r="D26" s="118">
        <f>IF((D25/10^4)&lt;1.5,1.5,(D25/10^4))</f>
        <v>4.6305</v>
      </c>
      <c r="E26" s="108" t="s">
        <v>89</v>
      </c>
    </row>
    <row r="27" s="88" customFormat="1" ht="1.5" customHeight="1">
      <c r="B27" s="90"/>
    </row>
    <row r="28" s="88" customFormat="1" ht="12.75">
      <c r="B28" s="93" t="s">
        <v>184</v>
      </c>
    </row>
    <row r="29" spans="2:6" s="88" customFormat="1" ht="13.5">
      <c r="B29" s="88" t="s">
        <v>175</v>
      </c>
      <c r="C29" s="88">
        <v>1</v>
      </c>
      <c r="D29" s="88">
        <v>1</v>
      </c>
      <c r="E29" s="108" t="s">
        <v>57</v>
      </c>
      <c r="F29" s="88" t="s">
        <v>204</v>
      </c>
    </row>
    <row r="30" spans="2:9" s="88" customFormat="1" ht="13.5">
      <c r="B30" s="88" t="s">
        <v>180</v>
      </c>
      <c r="C30" s="88">
        <v>2</v>
      </c>
      <c r="D30" s="88">
        <v>2</v>
      </c>
      <c r="E30" s="108" t="s">
        <v>57</v>
      </c>
      <c r="F30" s="88" t="s">
        <v>205</v>
      </c>
      <c r="I30" s="88">
        <f>T(C29)</f>
      </c>
    </row>
    <row r="31" spans="2:6" s="88" customFormat="1" ht="13.5">
      <c r="B31" s="88" t="s">
        <v>206</v>
      </c>
      <c r="C31" s="88">
        <v>2</v>
      </c>
      <c r="D31" s="88">
        <v>2</v>
      </c>
      <c r="E31" s="108" t="s">
        <v>57</v>
      </c>
      <c r="F31" s="88" t="s">
        <v>207</v>
      </c>
    </row>
    <row r="32" spans="2:5" s="88" customFormat="1" ht="13.5">
      <c r="B32" s="88" t="s">
        <v>181</v>
      </c>
      <c r="C32" s="88">
        <v>1</v>
      </c>
      <c r="D32" s="88">
        <v>1</v>
      </c>
      <c r="E32" s="108" t="s">
        <v>57</v>
      </c>
    </row>
    <row r="33" spans="2:5" s="88" customFormat="1" ht="13.5">
      <c r="B33" s="88" t="s">
        <v>182</v>
      </c>
      <c r="C33" s="88">
        <v>1</v>
      </c>
      <c r="D33" s="88">
        <v>1</v>
      </c>
      <c r="E33" s="108" t="s">
        <v>57</v>
      </c>
    </row>
    <row r="34" spans="2:6" s="88" customFormat="1" ht="13.5">
      <c r="B34" s="88" t="s">
        <v>183</v>
      </c>
      <c r="C34" s="88">
        <v>1</v>
      </c>
      <c r="D34" s="88">
        <v>1</v>
      </c>
      <c r="E34" s="108" t="s">
        <v>57</v>
      </c>
      <c r="F34" s="88" t="s">
        <v>208</v>
      </c>
    </row>
    <row r="35" spans="2:5" s="88" customFormat="1" ht="12.75">
      <c r="B35" s="88" t="s">
        <v>23</v>
      </c>
      <c r="C35" s="88">
        <v>25</v>
      </c>
      <c r="D35" s="88">
        <v>25</v>
      </c>
      <c r="E35" s="88" t="s">
        <v>58</v>
      </c>
    </row>
    <row r="36" spans="2:5" ht="2.25" customHeight="1">
      <c r="B36" s="108"/>
      <c r="C36" s="118"/>
      <c r="D36" s="118"/>
      <c r="E36" s="108" t="s">
        <v>58</v>
      </c>
    </row>
    <row r="37" spans="2:5" ht="13.5">
      <c r="B37" s="113" t="s">
        <v>185</v>
      </c>
      <c r="C37" s="118"/>
      <c r="D37" s="118"/>
      <c r="E37" s="108"/>
    </row>
    <row r="38" spans="2:5" ht="13.5">
      <c r="B38" s="108" t="s">
        <v>187</v>
      </c>
      <c r="C38" s="118" t="s">
        <v>188</v>
      </c>
      <c r="D38" s="118" t="s">
        <v>188</v>
      </c>
      <c r="E38" s="108"/>
    </row>
    <row r="39" spans="2:5" ht="13.5">
      <c r="B39" s="108"/>
      <c r="C39" s="119"/>
      <c r="D39" s="119"/>
      <c r="E39" s="108"/>
    </row>
    <row r="40" spans="1:5" ht="13.5">
      <c r="A40" s="106" t="s">
        <v>116</v>
      </c>
      <c r="B40" s="102" t="s">
        <v>110</v>
      </c>
      <c r="C40" s="102"/>
      <c r="D40" s="102"/>
      <c r="E40" s="106"/>
    </row>
    <row r="41" spans="1:5" ht="13.5">
      <c r="A41" s="107">
        <v>1</v>
      </c>
      <c r="B41" s="108" t="s">
        <v>170</v>
      </c>
      <c r="C41" s="105">
        <v>20</v>
      </c>
      <c r="D41" s="105">
        <v>30</v>
      </c>
      <c r="E41" s="108" t="s">
        <v>58</v>
      </c>
    </row>
    <row r="42" spans="1:5" ht="13.5">
      <c r="A42" s="107">
        <v>2</v>
      </c>
      <c r="B42" s="108" t="s">
        <v>90</v>
      </c>
      <c r="C42" s="120">
        <f>C9+C7*10%</f>
        <v>0.29599999999999993</v>
      </c>
      <c r="D42" s="120">
        <f>D9+D7*10%</f>
        <v>0.29599999999999993</v>
      </c>
      <c r="E42" s="108"/>
    </row>
    <row r="43" spans="1:5" ht="13.5">
      <c r="A43" s="107">
        <v>3</v>
      </c>
      <c r="B43" s="108" t="s">
        <v>111</v>
      </c>
      <c r="C43" s="116">
        <f>Waste_Projection!A10-Waste_Projection!A6</f>
        <v>20</v>
      </c>
      <c r="D43" s="116">
        <f>Waste_Projection!A12-Waste_Projection!A6</f>
        <v>30</v>
      </c>
      <c r="E43" s="108" t="s">
        <v>24</v>
      </c>
    </row>
    <row r="44" spans="1:5" ht="13.5">
      <c r="A44" s="107">
        <v>4</v>
      </c>
      <c r="B44" s="108" t="s">
        <v>91</v>
      </c>
      <c r="C44" s="116">
        <f>(((AVERAGE(C5:C6))*365*C43)*C42)</f>
        <v>518271.0688967112</v>
      </c>
      <c r="D44" s="116">
        <f>(((AVERAGE(D5:D6))*365*D43)*D42)</f>
        <v>1103027.0231479567</v>
      </c>
      <c r="E44" s="108" t="s">
        <v>81</v>
      </c>
    </row>
    <row r="45" spans="1:5" ht="13.5">
      <c r="A45" s="107">
        <v>5</v>
      </c>
      <c r="B45" s="108" t="s">
        <v>92</v>
      </c>
      <c r="C45" s="121">
        <v>1</v>
      </c>
      <c r="D45" s="121">
        <v>1</v>
      </c>
      <c r="E45" s="108" t="s">
        <v>79</v>
      </c>
    </row>
    <row r="46" spans="1:5" ht="13.5">
      <c r="A46" s="107">
        <v>6</v>
      </c>
      <c r="B46" s="108" t="s">
        <v>93</v>
      </c>
      <c r="C46" s="116">
        <f>C44/C45</f>
        <v>518271.0688967112</v>
      </c>
      <c r="D46" s="116">
        <f>D44/D45</f>
        <v>1103027.0231479567</v>
      </c>
      <c r="E46" s="108" t="s">
        <v>77</v>
      </c>
    </row>
    <row r="47" spans="1:5" ht="13.5">
      <c r="A47" s="107">
        <v>7</v>
      </c>
      <c r="B47" s="108" t="s">
        <v>248</v>
      </c>
      <c r="C47" s="116">
        <f>C46*10%</f>
        <v>51827.10688967112</v>
      </c>
      <c r="D47" s="116">
        <f>D46*10%</f>
        <v>110302.70231479568</v>
      </c>
      <c r="E47" s="108" t="s">
        <v>77</v>
      </c>
    </row>
    <row r="48" spans="1:5" ht="13.5">
      <c r="A48" s="107">
        <v>8</v>
      </c>
      <c r="B48" s="108" t="s">
        <v>94</v>
      </c>
      <c r="C48" s="116">
        <f>C46*0.125</f>
        <v>64783.8836120889</v>
      </c>
      <c r="D48" s="116">
        <f>D46*0.125</f>
        <v>137878.3778934946</v>
      </c>
      <c r="E48" s="108" t="s">
        <v>77</v>
      </c>
    </row>
    <row r="49" spans="1:5" ht="13.5">
      <c r="A49" s="107">
        <v>9</v>
      </c>
      <c r="B49" s="108" t="s">
        <v>95</v>
      </c>
      <c r="C49" s="116">
        <f>C46*0.1</f>
        <v>51827.10688967112</v>
      </c>
      <c r="D49" s="116">
        <f>D46*0.1</f>
        <v>110302.70231479568</v>
      </c>
      <c r="E49" s="108"/>
    </row>
    <row r="50" spans="1:5" ht="13.5">
      <c r="A50" s="107">
        <v>10</v>
      </c>
      <c r="B50" s="108" t="s">
        <v>96</v>
      </c>
      <c r="C50" s="116">
        <f>C48+C47+C46-C49</f>
        <v>583054.9525088002</v>
      </c>
      <c r="D50" s="116">
        <f>D48+D47+D46-D49</f>
        <v>1240905.4010414511</v>
      </c>
      <c r="E50" s="108" t="s">
        <v>77</v>
      </c>
    </row>
    <row r="51" spans="1:5" ht="13.5">
      <c r="A51" s="107">
        <v>11</v>
      </c>
      <c r="B51" s="108" t="s">
        <v>97</v>
      </c>
      <c r="C51" s="116">
        <v>10</v>
      </c>
      <c r="D51" s="116">
        <v>10</v>
      </c>
      <c r="E51" s="108" t="s">
        <v>98</v>
      </c>
    </row>
    <row r="52" spans="1:5" ht="13.5">
      <c r="A52" s="107">
        <v>12</v>
      </c>
      <c r="B52" s="108" t="s">
        <v>99</v>
      </c>
      <c r="C52" s="116">
        <f>C50/C51</f>
        <v>58305.49525088002</v>
      </c>
      <c r="D52" s="116">
        <f>D50/D51</f>
        <v>124090.54010414511</v>
      </c>
      <c r="E52" s="108" t="s">
        <v>84</v>
      </c>
    </row>
    <row r="53" spans="1:5" ht="13.5">
      <c r="A53" s="107">
        <v>13</v>
      </c>
      <c r="B53" s="108" t="s">
        <v>249</v>
      </c>
      <c r="C53" s="116">
        <f>C52*125%</f>
        <v>72881.86906360002</v>
      </c>
      <c r="D53" s="116">
        <f>D52*125%</f>
        <v>155113.1751301814</v>
      </c>
      <c r="E53" s="108" t="s">
        <v>84</v>
      </c>
    </row>
    <row r="54" spans="1:5" ht="13.5">
      <c r="A54" s="107">
        <v>14</v>
      </c>
      <c r="B54" s="108" t="s">
        <v>99</v>
      </c>
      <c r="C54" s="176">
        <f>C53/10000</f>
        <v>7.288186906360003</v>
      </c>
      <c r="D54" s="176">
        <f>D53/10000</f>
        <v>15.51131751301814</v>
      </c>
      <c r="E54" s="108" t="s">
        <v>89</v>
      </c>
    </row>
    <row r="55" spans="1:5" ht="13.5">
      <c r="A55" s="107">
        <v>15</v>
      </c>
      <c r="B55" s="108" t="s">
        <v>100</v>
      </c>
      <c r="C55" s="176">
        <f>C54*(1+15%)</f>
        <v>8.381414942314002</v>
      </c>
      <c r="D55" s="176">
        <f>D54*(1+15%)</f>
        <v>17.83801513997086</v>
      </c>
      <c r="E55" s="108" t="s">
        <v>89</v>
      </c>
    </row>
    <row r="56" spans="1:5" ht="13.5">
      <c r="A56" s="107">
        <v>16</v>
      </c>
      <c r="B56" s="108" t="s">
        <v>101</v>
      </c>
      <c r="C56" s="176">
        <f>C55*(1+10%)</f>
        <v>9.219556436545403</v>
      </c>
      <c r="D56" s="176">
        <f>D55*(1+10%)</f>
        <v>19.621816653967947</v>
      </c>
      <c r="E56" s="108" t="s">
        <v>89</v>
      </c>
    </row>
    <row r="57" spans="2:5" ht="13.5">
      <c r="B57" s="108" t="s">
        <v>102</v>
      </c>
      <c r="C57" s="176">
        <f>IF(C56&lt;2,2,C56)</f>
        <v>9.219556436545403</v>
      </c>
      <c r="D57" s="176">
        <f>IF(D56&lt;2,2,D56)</f>
        <v>19.621816653967947</v>
      </c>
      <c r="E57" s="108"/>
    </row>
    <row r="58" spans="2:5" ht="2.25" customHeight="1">
      <c r="B58" s="112"/>
      <c r="C58" s="122"/>
      <c r="D58" s="122"/>
      <c r="E58" s="108"/>
    </row>
    <row r="59" s="88" customFormat="1" ht="12.75">
      <c r="B59" s="93" t="s">
        <v>189</v>
      </c>
    </row>
    <row r="60" spans="2:6" s="88" customFormat="1" ht="13.5">
      <c r="B60" s="88" t="s">
        <v>175</v>
      </c>
      <c r="C60" s="88">
        <v>1</v>
      </c>
      <c r="D60" s="88">
        <v>1</v>
      </c>
      <c r="E60" s="108" t="s">
        <v>57</v>
      </c>
      <c r="F60" s="88" t="s">
        <v>202</v>
      </c>
    </row>
    <row r="61" spans="2:6" s="88" customFormat="1" ht="13.5">
      <c r="B61" s="88" t="s">
        <v>176</v>
      </c>
      <c r="C61" s="88">
        <v>1</v>
      </c>
      <c r="D61" s="88">
        <v>1</v>
      </c>
      <c r="E61" s="108" t="s">
        <v>57</v>
      </c>
      <c r="F61" s="88" t="s">
        <v>203</v>
      </c>
    </row>
    <row r="62" spans="2:5" s="88" customFormat="1" ht="12.75">
      <c r="B62" s="88" t="s">
        <v>23</v>
      </c>
      <c r="C62" s="88">
        <v>25</v>
      </c>
      <c r="D62" s="88">
        <v>25</v>
      </c>
      <c r="E62" s="88" t="s">
        <v>58</v>
      </c>
    </row>
    <row r="63" spans="2:5" ht="2.25" customHeight="1">
      <c r="B63" s="108"/>
      <c r="C63" s="118"/>
      <c r="D63" s="118"/>
      <c r="E63" s="108" t="s">
        <v>58</v>
      </c>
    </row>
    <row r="64" spans="2:5" ht="13.5">
      <c r="B64" s="113" t="s">
        <v>185</v>
      </c>
      <c r="C64" s="118"/>
      <c r="D64" s="118"/>
      <c r="E64" s="108"/>
    </row>
    <row r="65" spans="2:5" ht="13.5">
      <c r="B65" s="108" t="s">
        <v>191</v>
      </c>
      <c r="C65" s="122">
        <f>C52</f>
        <v>58305.49525088002</v>
      </c>
      <c r="D65" s="122">
        <f>D52</f>
        <v>124090.54010414511</v>
      </c>
      <c r="E65" s="108" t="s">
        <v>84</v>
      </c>
    </row>
    <row r="66" spans="2:8" ht="13.5">
      <c r="B66" s="108" t="s">
        <v>192</v>
      </c>
      <c r="C66" s="202">
        <f>$C$65*Waste_Projection!F7</f>
        <v>9982.091346428884</v>
      </c>
      <c r="D66" s="123">
        <f>C66</f>
        <v>9982.091346428884</v>
      </c>
      <c r="E66" s="108" t="s">
        <v>84</v>
      </c>
      <c r="F66" s="203"/>
      <c r="G66" s="71"/>
      <c r="H66" s="110"/>
    </row>
    <row r="67" spans="2:8" ht="13.5">
      <c r="B67" s="108" t="s">
        <v>193</v>
      </c>
      <c r="C67" s="202">
        <f>$C$65*Waste_Projection!F8</f>
        <v>12569.035865696873</v>
      </c>
      <c r="D67" s="123">
        <f>C67</f>
        <v>12569.035865696873</v>
      </c>
      <c r="E67" s="108" t="s">
        <v>84</v>
      </c>
      <c r="F67" s="71"/>
      <c r="G67" s="71"/>
      <c r="H67" s="110"/>
    </row>
    <row r="68" spans="2:8" ht="13.5">
      <c r="B68" s="108" t="s">
        <v>194</v>
      </c>
      <c r="C68" s="202">
        <f>$C$65*Waste_Projection!F9</f>
        <v>15826.409227330121</v>
      </c>
      <c r="D68" s="123">
        <f>C68</f>
        <v>15826.409227330121</v>
      </c>
      <c r="E68" s="108" t="s">
        <v>84</v>
      </c>
      <c r="F68" s="71"/>
      <c r="G68" s="71"/>
      <c r="H68" s="110"/>
    </row>
    <row r="69" spans="2:8" ht="13.5">
      <c r="B69" s="108" t="s">
        <v>195</v>
      </c>
      <c r="C69" s="202">
        <f>$C$65*Waste_Projection!F10</f>
        <v>19927.95881142414</v>
      </c>
      <c r="D69" s="123">
        <f>C69</f>
        <v>19927.95881142414</v>
      </c>
      <c r="E69" s="108" t="s">
        <v>84</v>
      </c>
      <c r="F69" s="71"/>
      <c r="G69" s="71"/>
      <c r="H69" s="110"/>
    </row>
    <row r="70" spans="2:8" ht="13.5">
      <c r="B70" s="108" t="s">
        <v>288</v>
      </c>
      <c r="C70" s="204">
        <f>(D65-D72)/3</f>
        <v>1537.528632334778</v>
      </c>
      <c r="D70" s="123">
        <f>F70+C70</f>
        <v>28615.069699050546</v>
      </c>
      <c r="E70" s="108" t="s">
        <v>84</v>
      </c>
      <c r="F70" s="71">
        <f>$D$65*Waste_Projection!G11</f>
        <v>27077.541066715767</v>
      </c>
      <c r="G70" s="199"/>
      <c r="H70" s="110"/>
    </row>
    <row r="71" spans="2:8" ht="13.5">
      <c r="B71" s="108" t="s">
        <v>289</v>
      </c>
      <c r="C71" s="204">
        <f>(D65-D72)*2/3</f>
        <v>3075.057264669556</v>
      </c>
      <c r="D71" s="123">
        <f>F71+C71</f>
        <v>37169.975154214546</v>
      </c>
      <c r="E71" s="108" t="s">
        <v>84</v>
      </c>
      <c r="F71" s="71">
        <f>$D$65*Waste_Projection!G12</f>
        <v>34094.91788954499</v>
      </c>
      <c r="G71" s="199"/>
      <c r="H71" s="110"/>
    </row>
    <row r="72" spans="2:5" ht="13.5">
      <c r="B72" s="108"/>
      <c r="C72" s="122"/>
      <c r="D72" s="205">
        <f>SUM(D66:D69)+F70+F71</f>
        <v>119477.95420714078</v>
      </c>
      <c r="E72" s="108"/>
    </row>
    <row r="73" spans="2:5" ht="13.5">
      <c r="B73" s="108" t="s">
        <v>190</v>
      </c>
      <c r="C73" s="118" t="s">
        <v>188</v>
      </c>
      <c r="D73" s="118" t="s">
        <v>188</v>
      </c>
      <c r="E73" s="108"/>
    </row>
    <row r="74" spans="2:5" ht="2.25" customHeight="1">
      <c r="B74" s="108"/>
      <c r="C74" s="118"/>
      <c r="D74" s="118"/>
      <c r="E74" s="108"/>
    </row>
    <row r="75" spans="1:5" ht="13.5">
      <c r="A75" s="106" t="s">
        <v>117</v>
      </c>
      <c r="B75" s="102" t="s">
        <v>118</v>
      </c>
      <c r="C75" s="124" t="s">
        <v>271</v>
      </c>
      <c r="D75" s="124" t="s">
        <v>272</v>
      </c>
      <c r="E75" s="102"/>
    </row>
    <row r="76" spans="1:5" ht="13.5">
      <c r="A76" s="189"/>
      <c r="B76" s="105" t="s">
        <v>169</v>
      </c>
      <c r="C76" s="109">
        <f>C26</f>
        <v>2.9295</v>
      </c>
      <c r="D76" s="109">
        <f>D26</f>
        <v>4.6305</v>
      </c>
      <c r="E76" s="105" t="s">
        <v>89</v>
      </c>
    </row>
    <row r="77" spans="1:5" ht="13.5">
      <c r="A77" s="189"/>
      <c r="B77" s="105" t="s">
        <v>273</v>
      </c>
      <c r="C77" s="109">
        <f>C57</f>
        <v>9.219556436545403</v>
      </c>
      <c r="D77" s="109">
        <f>D57</f>
        <v>19.621816653967947</v>
      </c>
      <c r="E77" s="105" t="s">
        <v>89</v>
      </c>
    </row>
    <row r="78" spans="2:5" ht="13.5">
      <c r="B78" s="112" t="s">
        <v>119</v>
      </c>
      <c r="C78" s="190">
        <f>SUM(C76:C77)</f>
        <v>12.149056436545404</v>
      </c>
      <c r="D78" s="190">
        <f>SUM(D76:D77)</f>
        <v>24.252316653967945</v>
      </c>
      <c r="E78" s="112" t="s">
        <v>89</v>
      </c>
    </row>
    <row r="79" spans="2:5" ht="13.5">
      <c r="B79" s="112"/>
      <c r="C79" s="125"/>
      <c r="D79" s="125"/>
      <c r="E79" s="112"/>
    </row>
    <row r="80" spans="2:5" ht="13.5">
      <c r="B80" s="108"/>
      <c r="C80" s="118"/>
      <c r="D80" s="118"/>
      <c r="E80" s="108"/>
    </row>
    <row r="81" spans="2:5" ht="13.5">
      <c r="B81" s="108"/>
      <c r="C81" s="118"/>
      <c r="D81" s="118"/>
      <c r="E81" s="108"/>
    </row>
  </sheetData>
  <sheetProtection password="CA9C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Achyutha</dc:creator>
  <cp:keywords/>
  <dc:description/>
  <cp:lastModifiedBy>aachyutha</cp:lastModifiedBy>
  <cp:lastPrinted>2010-05-10T06:25:53Z</cp:lastPrinted>
  <dcterms:created xsi:type="dcterms:W3CDTF">2010-01-30T13:37:28Z</dcterms:created>
  <dcterms:modified xsi:type="dcterms:W3CDTF">2010-05-17T12:48:05Z</dcterms:modified>
  <cp:category/>
  <cp:version/>
  <cp:contentType/>
  <cp:contentStatus/>
</cp:coreProperties>
</file>